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Skånes Universitetssjukhus\GastroMed-AKN\Gemensam\Nätverk och grupper\Vårdutveckling\Sjukhusgemensamt material\Mat- och vätskeregistrering\Uppdatering 2021\"/>
    </mc:Choice>
  </mc:AlternateContent>
  <xr:revisionPtr revIDLastSave="0" documentId="13_ncr:1_{5B6F2930-822C-4503-AC37-A985F3102AAC}" xr6:coauthVersionLast="45" xr6:coauthVersionMax="45" xr10:uidLastSave="{00000000-0000-0000-0000-000000000000}"/>
  <bookViews>
    <workbookView xWindow="-120" yWindow="-120" windowWidth="29040" windowHeight="15840" tabRatio="804" activeTab="5" xr2:uid="{00000000-000D-0000-FFFF-FFFF00000000}"/>
  </bookViews>
  <sheets>
    <sheet name="Frukost, mellanmål och dryck" sheetId="4" r:id="rId1"/>
    <sheet name="Lunch och middag" sheetId="9" r:id="rId2"/>
    <sheet name="Näringsdrycker" sheetId="2" r:id="rId3"/>
    <sheet name="Sondnäring" sheetId="5" r:id="rId4"/>
    <sheet name="Parenteral nutrition och vätska" sheetId="6" r:id="rId5"/>
    <sheet name="Resultat" sheetId="1" r:id="rId6"/>
  </sheets>
  <definedNames>
    <definedName name="_xlnm._FilterDatabase" localSheetId="0" hidden="1">'Frukost, mellanmål och dryck'!$A$8:$O$122</definedName>
    <definedName name="kcalsondmat">Sondnäring!$B$24</definedName>
    <definedName name="mlPN" localSheetId="4">'Parenteral nutrition och vätska'!#REF!</definedName>
    <definedName name="mlPN">Resultat!#REF!</definedName>
    <definedName name="mlPV" localSheetId="4">'Parenteral nutrition och vätska'!$B$33</definedName>
    <definedName name="mlPV">Resultat!#REF!</definedName>
    <definedName name="NDkcal">Näringsdrycker!#REF!</definedName>
    <definedName name="NDml">Näringsdrycker!#REF!</definedName>
    <definedName name="peroralnutrition">'Frukost, mellanmål och dryck'!#REF!</definedName>
    <definedName name="peroralvätska">'Frukost, mellanmål och dryck'!#REF!</definedName>
    <definedName name="PNkcal" localSheetId="4">'Parenteral nutrition och vätska'!#REF!</definedName>
    <definedName name="PNkcal">Resultat!#REF!</definedName>
    <definedName name="Tilläggkcal">Näringsdrycker!#REF!</definedName>
    <definedName name="Tilläggml">Näringsdrycker!#REF!</definedName>
    <definedName name="_xlnm.Print_Area" localSheetId="0">'Frukost, mellanmål och dryck'!$A$1:$W$61</definedName>
    <definedName name="_xlnm.Print_Area" localSheetId="2">Näringsdrycker!$A$1:$N$31</definedName>
    <definedName name="_xlnm.Print_Area" localSheetId="4">'Parenteral nutrition och vätska'!$A$1:$Q$39</definedName>
    <definedName name="_xlnm.Print_Area" localSheetId="3">Sondnäring!$A$1:$I$29</definedName>
    <definedName name="vätskasondmat">Sondnäring!$B$25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K18" i="2"/>
  <c r="J18" i="2"/>
  <c r="I21" i="2"/>
  <c r="K21" i="2"/>
  <c r="I22" i="2"/>
  <c r="K22" i="2"/>
  <c r="I23" i="2"/>
  <c r="J23" i="2"/>
  <c r="I24" i="2"/>
  <c r="I25" i="2"/>
  <c r="I26" i="2"/>
  <c r="K26" i="2"/>
  <c r="I27" i="2"/>
  <c r="K27" i="2"/>
  <c r="I28" i="2"/>
  <c r="C15" i="2"/>
  <c r="P49" i="4" l="1"/>
  <c r="O49" i="4"/>
  <c r="P48" i="4"/>
  <c r="O48" i="4"/>
  <c r="P47" i="4"/>
  <c r="O47" i="4"/>
  <c r="P46" i="4"/>
  <c r="O46" i="4"/>
  <c r="P45" i="4"/>
  <c r="O45" i="4"/>
  <c r="P44" i="4"/>
  <c r="O44" i="4"/>
  <c r="O43" i="4"/>
  <c r="O42" i="4"/>
  <c r="O41" i="4"/>
  <c r="P40" i="4"/>
  <c r="O40" i="4"/>
  <c r="P39" i="4"/>
  <c r="O39" i="4"/>
  <c r="P38" i="4"/>
  <c r="O38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C26" i="4"/>
  <c r="D26" i="4"/>
  <c r="I26" i="4"/>
  <c r="J41" i="4"/>
  <c r="I41" i="4"/>
  <c r="J40" i="4"/>
  <c r="I40" i="4"/>
  <c r="J39" i="4"/>
  <c r="I39" i="4"/>
  <c r="I38" i="4"/>
  <c r="J37" i="4"/>
  <c r="I37" i="4"/>
  <c r="J36" i="4"/>
  <c r="I36" i="4"/>
  <c r="P23" i="9" l="1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1" i="9"/>
  <c r="P10" i="9"/>
  <c r="P9" i="9"/>
  <c r="P8" i="9"/>
  <c r="O11" i="9"/>
  <c r="O10" i="9"/>
  <c r="O9" i="9"/>
  <c r="O8" i="9"/>
  <c r="P7" i="9"/>
  <c r="P6" i="9"/>
  <c r="O7" i="9"/>
  <c r="O6" i="9"/>
  <c r="P13" i="9"/>
  <c r="O13" i="9"/>
  <c r="P12" i="9"/>
  <c r="O12" i="9"/>
  <c r="K11" i="2" l="1"/>
  <c r="J11" i="2"/>
  <c r="I11" i="2"/>
  <c r="J12" i="2"/>
  <c r="I10" i="2"/>
  <c r="I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E11" i="2"/>
  <c r="D11" i="2"/>
  <c r="C11" i="2"/>
  <c r="E17" i="2"/>
  <c r="D17" i="2"/>
  <c r="C17" i="2"/>
  <c r="E16" i="2"/>
  <c r="D16" i="2"/>
  <c r="C16" i="2"/>
  <c r="C20" i="2"/>
  <c r="G13" i="1" s="1"/>
  <c r="D15" i="2"/>
  <c r="C21" i="2" s="1"/>
  <c r="I13" i="1" s="1"/>
  <c r="E15" i="2"/>
  <c r="C22" i="2" s="1"/>
  <c r="K13" i="1" s="1"/>
  <c r="E12" i="2"/>
  <c r="D12" i="2"/>
  <c r="C12" i="2"/>
  <c r="P27" i="9"/>
  <c r="K17" i="9"/>
  <c r="K16" i="9"/>
  <c r="E18" i="9"/>
  <c r="K7" i="9" l="1"/>
  <c r="K6" i="9"/>
  <c r="E8" i="9"/>
  <c r="P26" i="9" l="1"/>
  <c r="P25" i="9"/>
  <c r="J23" i="9"/>
  <c r="I23" i="9"/>
  <c r="J22" i="9"/>
  <c r="I22" i="9"/>
  <c r="J20" i="9"/>
  <c r="I20" i="9"/>
  <c r="J19" i="9"/>
  <c r="I19" i="9"/>
  <c r="J17" i="9"/>
  <c r="I17" i="9"/>
  <c r="J16" i="9"/>
  <c r="I16" i="9"/>
  <c r="Q38" i="9"/>
  <c r="J13" i="9"/>
  <c r="J12" i="9"/>
  <c r="J10" i="9"/>
  <c r="J9" i="9"/>
  <c r="J7" i="9"/>
  <c r="J6" i="9"/>
  <c r="I13" i="9"/>
  <c r="I12" i="9"/>
  <c r="I10" i="9"/>
  <c r="I9" i="9"/>
  <c r="I7" i="9"/>
  <c r="I6" i="9"/>
  <c r="D22" i="9"/>
  <c r="C22" i="9"/>
  <c r="D21" i="9"/>
  <c r="C21" i="9"/>
  <c r="D18" i="9"/>
  <c r="C18" i="9"/>
  <c r="D17" i="9"/>
  <c r="C17" i="9"/>
  <c r="D16" i="9"/>
  <c r="C16" i="9"/>
  <c r="D12" i="9"/>
  <c r="C12" i="9"/>
  <c r="D11" i="9"/>
  <c r="C11" i="9"/>
  <c r="D8" i="9"/>
  <c r="C8" i="9"/>
  <c r="J38" i="4"/>
  <c r="D7" i="9" l="1"/>
  <c r="C7" i="9"/>
  <c r="D6" i="9"/>
  <c r="C6" i="9"/>
  <c r="E43" i="9"/>
  <c r="E42" i="9"/>
  <c r="E41" i="9"/>
  <c r="E40" i="9"/>
  <c r="K39" i="9"/>
  <c r="K38" i="9"/>
  <c r="K37" i="9"/>
  <c r="Q33" i="9"/>
  <c r="Q32" i="9"/>
  <c r="E32" i="9"/>
  <c r="Q31" i="9"/>
  <c r="K31" i="9"/>
  <c r="E31" i="9"/>
  <c r="Q30" i="9"/>
  <c r="K30" i="9"/>
  <c r="E30" i="9"/>
  <c r="K29" i="9"/>
  <c r="E29" i="9"/>
  <c r="K28" i="9"/>
  <c r="Q24" i="9"/>
  <c r="Q21" i="9"/>
  <c r="Q20" i="9"/>
  <c r="Q19" i="9"/>
  <c r="Q13" i="9"/>
  <c r="Q12" i="9"/>
  <c r="Q11" i="9"/>
  <c r="Q10" i="9"/>
  <c r="E12" i="4"/>
  <c r="E11" i="4"/>
  <c r="E20" i="4"/>
  <c r="E21" i="4"/>
  <c r="E37" i="4"/>
  <c r="E38" i="4"/>
  <c r="P8" i="4"/>
  <c r="O8" i="4"/>
  <c r="O9" i="4"/>
  <c r="P9" i="4"/>
  <c r="O10" i="4"/>
  <c r="P10" i="4"/>
  <c r="O11" i="4"/>
  <c r="P11" i="4"/>
  <c r="O12" i="4"/>
  <c r="P12" i="4"/>
  <c r="O13" i="4"/>
  <c r="O14" i="4"/>
  <c r="O15" i="4"/>
  <c r="P15" i="4"/>
  <c r="O16" i="4"/>
  <c r="O17" i="4"/>
  <c r="P17" i="4"/>
  <c r="O18" i="4"/>
  <c r="P18" i="4"/>
  <c r="O19" i="4"/>
  <c r="P19" i="4"/>
  <c r="O20" i="4"/>
  <c r="O23" i="4"/>
  <c r="P23" i="4"/>
  <c r="O24" i="4"/>
  <c r="P24" i="4"/>
  <c r="O25" i="4"/>
  <c r="P25" i="4"/>
  <c r="P7" i="4"/>
  <c r="O7" i="4"/>
  <c r="P6" i="4"/>
  <c r="O6" i="4"/>
  <c r="E10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I29" i="4"/>
  <c r="K28" i="4"/>
  <c r="I28" i="4"/>
  <c r="E13" i="4"/>
  <c r="D38" i="4"/>
  <c r="C38" i="4"/>
  <c r="D37" i="4"/>
  <c r="C37" i="4"/>
  <c r="E39" i="4"/>
  <c r="D39" i="4"/>
  <c r="C39" i="4"/>
  <c r="I27" i="4"/>
  <c r="I25" i="4"/>
  <c r="I24" i="4"/>
  <c r="I23" i="4"/>
  <c r="I22" i="4"/>
  <c r="I21" i="4"/>
  <c r="E36" i="4"/>
  <c r="D36" i="4"/>
  <c r="C36" i="4"/>
  <c r="D35" i="4"/>
  <c r="C35" i="4"/>
  <c r="D34" i="4"/>
  <c r="C34" i="4"/>
  <c r="D33" i="4"/>
  <c r="C33" i="4"/>
  <c r="D32" i="4"/>
  <c r="C32" i="4"/>
  <c r="D29" i="4"/>
  <c r="C29" i="4"/>
  <c r="D28" i="4"/>
  <c r="C28" i="4"/>
  <c r="D27" i="4"/>
  <c r="C27" i="4"/>
  <c r="J18" i="4"/>
  <c r="I18" i="4"/>
  <c r="I17" i="4"/>
  <c r="J16" i="4"/>
  <c r="I16" i="4"/>
  <c r="J15" i="4"/>
  <c r="I15" i="4"/>
  <c r="J14" i="4"/>
  <c r="I14" i="4"/>
  <c r="E23" i="4"/>
  <c r="E22" i="4"/>
  <c r="E19" i="4"/>
  <c r="E18" i="4"/>
  <c r="E17" i="4"/>
  <c r="E16" i="4"/>
  <c r="E9" i="4"/>
  <c r="D23" i="4" l="1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2" i="4"/>
  <c r="C12" i="4"/>
  <c r="D11" i="4"/>
  <c r="C11" i="4"/>
  <c r="C10" i="4"/>
  <c r="C9" i="4"/>
  <c r="J6" i="2" l="1"/>
  <c r="Q22" i="4" l="1"/>
  <c r="D10" i="5"/>
  <c r="E10" i="5"/>
  <c r="C10" i="5"/>
  <c r="E7" i="2" l="1"/>
  <c r="D7" i="2"/>
  <c r="D25" i="6" l="1"/>
  <c r="D16" i="5" l="1"/>
  <c r="K8" i="2" l="1"/>
  <c r="J8" i="2"/>
  <c r="I8" i="2"/>
  <c r="I9" i="4" l="1"/>
  <c r="C9" i="2" l="1"/>
  <c r="E10" i="2"/>
  <c r="K10" i="2"/>
  <c r="J7" i="2"/>
  <c r="I7" i="2"/>
  <c r="E9" i="5"/>
  <c r="E18" i="5"/>
  <c r="D18" i="5"/>
  <c r="C18" i="5"/>
  <c r="E16" i="5"/>
  <c r="C16" i="5"/>
  <c r="E19" i="5"/>
  <c r="E7" i="5"/>
  <c r="E8" i="5"/>
  <c r="I12" i="4" l="1"/>
  <c r="I11" i="4"/>
  <c r="J9" i="4"/>
  <c r="J8" i="4"/>
  <c r="I8" i="4"/>
  <c r="J6" i="4"/>
  <c r="I6" i="4"/>
  <c r="D8" i="4"/>
  <c r="C8" i="4"/>
  <c r="C7" i="4"/>
  <c r="C6" i="4" l="1"/>
  <c r="C12" i="5"/>
  <c r="C7" i="6"/>
  <c r="Q6" i="4"/>
  <c r="E8" i="4"/>
  <c r="E7" i="4"/>
  <c r="E6" i="4"/>
  <c r="B43" i="4" s="1"/>
  <c r="K12" i="1" s="1"/>
  <c r="J7" i="4"/>
  <c r="B42" i="4" s="1"/>
  <c r="I12" i="1" s="1"/>
  <c r="J12" i="4"/>
  <c r="J13" i="4"/>
  <c r="I7" i="4"/>
  <c r="I10" i="4"/>
  <c r="I13" i="4"/>
  <c r="E9" i="2"/>
  <c r="D9" i="2"/>
  <c r="C10" i="2"/>
  <c r="C6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K15" i="1"/>
  <c r="E6" i="5"/>
  <c r="E11" i="5"/>
  <c r="E12" i="5"/>
  <c r="E13" i="5"/>
  <c r="E14" i="5"/>
  <c r="E15" i="5"/>
  <c r="E17" i="5"/>
  <c r="E20" i="5"/>
  <c r="E21" i="5"/>
  <c r="D6" i="6"/>
  <c r="D7" i="6"/>
  <c r="D8" i="6"/>
  <c r="D9" i="6"/>
  <c r="D10" i="6"/>
  <c r="D11" i="6"/>
  <c r="D12" i="6"/>
  <c r="D13" i="6"/>
  <c r="D14" i="6"/>
  <c r="D15" i="6"/>
  <c r="D16" i="6"/>
  <c r="D17" i="6"/>
  <c r="D6" i="5"/>
  <c r="D7" i="5"/>
  <c r="D8" i="5"/>
  <c r="D9" i="5"/>
  <c r="D11" i="5"/>
  <c r="D12" i="5"/>
  <c r="D13" i="5"/>
  <c r="D14" i="5"/>
  <c r="D15" i="5"/>
  <c r="D17" i="5"/>
  <c r="D19" i="5"/>
  <c r="D20" i="5"/>
  <c r="D21" i="5"/>
  <c r="C6" i="5"/>
  <c r="C7" i="5"/>
  <c r="C8" i="5"/>
  <c r="C9" i="5"/>
  <c r="C11" i="5"/>
  <c r="C13" i="5"/>
  <c r="C14" i="5"/>
  <c r="C15" i="5"/>
  <c r="C17" i="5"/>
  <c r="C19" i="5"/>
  <c r="C20" i="5"/>
  <c r="C21" i="5"/>
  <c r="D10" i="2"/>
  <c r="E6" i="2"/>
  <c r="E8" i="2"/>
  <c r="K9" i="2"/>
  <c r="K7" i="2"/>
  <c r="K6" i="2"/>
  <c r="C8" i="2"/>
  <c r="C7" i="2"/>
  <c r="C6" i="2"/>
  <c r="I6" i="2"/>
  <c r="I9" i="2"/>
  <c r="D8" i="2"/>
  <c r="D6" i="2"/>
  <c r="J9" i="2"/>
  <c r="J10" i="2"/>
  <c r="B41" i="4" l="1"/>
  <c r="G12" i="1" s="1"/>
  <c r="C24" i="5"/>
  <c r="C25" i="5"/>
  <c r="D24" i="6"/>
  <c r="I15" i="1" s="1"/>
  <c r="D23" i="6"/>
  <c r="G15" i="1" s="1"/>
  <c r="C26" i="5"/>
  <c r="K14" i="1"/>
  <c r="I14" i="1"/>
  <c r="G14" i="1"/>
  <c r="K17" i="1" l="1"/>
  <c r="G17" i="1"/>
  <c r="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104893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104893:</t>
        </r>
        <r>
          <rPr>
            <sz val="8"/>
            <color indexed="81"/>
            <rFont val="Tahoma"/>
            <family val="2"/>
          </rPr>
          <t xml:space="preserve">
Genomsnitt av grahamsbröd, 70% marg (5g),15 g ost och ljus skiva, 15 g skinka och 70% marg (5 g)</t>
        </r>
      </text>
    </comment>
    <comment ref="G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104893:</t>
        </r>
        <r>
          <rPr>
            <sz val="8"/>
            <color indexed="81"/>
            <rFont val="Tahoma"/>
            <family val="2"/>
          </rPr>
          <t xml:space="preserve">
Som ovan men 1 sk Husman i stället.</t>
        </r>
      </text>
    </comment>
    <comment ref="G14" authorId="0" shapeId="0" xr:uid="{726F1448-2BD9-4AD5-8001-9D034AA7F2E9}">
      <text>
        <r>
          <rPr>
            <b/>
            <sz val="8"/>
            <color indexed="81"/>
            <rFont val="Tahoma"/>
            <family val="2"/>
          </rPr>
          <t>104893:</t>
        </r>
        <r>
          <rPr>
            <sz val="8"/>
            <color indexed="81"/>
            <rFont val="Tahoma"/>
            <family val="2"/>
          </rPr>
          <t xml:space="preserve">
22 g (2 skivor a 2x4 cm, ca 3 mm tjocka)</t>
        </r>
      </text>
    </comment>
    <comment ref="A36" authorId="0" shapeId="0" xr:uid="{08CAA83D-25B9-42FC-B727-528D078EDD1E}">
      <text>
        <r>
          <rPr>
            <b/>
            <sz val="8"/>
            <color indexed="81"/>
            <rFont val="Tahoma"/>
            <family val="2"/>
          </rPr>
          <t>104893:</t>
        </r>
        <r>
          <rPr>
            <sz val="8"/>
            <color indexed="81"/>
            <rFont val="Tahoma"/>
            <family val="2"/>
          </rPr>
          <t xml:space="preserve">
175 ml</t>
        </r>
      </text>
    </comment>
  </commentList>
</comments>
</file>

<file path=xl/sharedStrings.xml><?xml version="1.0" encoding="utf-8"?>
<sst xmlns="http://schemas.openxmlformats.org/spreadsheetml/2006/main" count="342" uniqueCount="256">
  <si>
    <t>Glucos 5%</t>
  </si>
  <si>
    <t>Glucos 10%</t>
  </si>
  <si>
    <t>Kabiven Perifer</t>
  </si>
  <si>
    <t>ml</t>
  </si>
  <si>
    <t>Drycker, kalla soppor</t>
  </si>
  <si>
    <t>Havregrynsgröt</t>
  </si>
  <si>
    <t>Manna-, risgröt (på 3% mjölk)</t>
  </si>
  <si>
    <t>Müsli (bas)</t>
  </si>
  <si>
    <t>Smörgås, bröd, pålägg, ägg</t>
  </si>
  <si>
    <t>Mjuk smörgås (bröd, margarin, pålägg)</t>
  </si>
  <si>
    <t>Hård smörgås (knäcke, margarin, pålägg)</t>
  </si>
  <si>
    <t>Margarin, 70-80% (portionsförpackning) 10g</t>
  </si>
  <si>
    <t>Kakor, kex, skorpor</t>
  </si>
  <si>
    <t>Kanelgiffel</t>
  </si>
  <si>
    <t>Vetebulle, slät</t>
  </si>
  <si>
    <t>Digestivekex</t>
  </si>
  <si>
    <t>Skorpa</t>
  </si>
  <si>
    <t>Godis, snacks</t>
  </si>
  <si>
    <t>Tillbehör</t>
  </si>
  <si>
    <t>Glass, efterrätt, mellanmål frukt</t>
  </si>
  <si>
    <t>Risifrutti/Mannafrutti, per förp</t>
  </si>
  <si>
    <t>Chokladpudding Jacky</t>
  </si>
  <si>
    <t>Glass, light, 1 bägare</t>
  </si>
  <si>
    <t>Microrätter och varma soppor</t>
  </si>
  <si>
    <t>INSTRUKTION</t>
  </si>
  <si>
    <t>NaCl</t>
  </si>
  <si>
    <t>Ringer</t>
  </si>
  <si>
    <t>Sandimmun</t>
  </si>
  <si>
    <t>Antibiotikavätska</t>
  </si>
  <si>
    <t>Spoldropp</t>
  </si>
  <si>
    <t>Cytostatikavätska</t>
  </si>
  <si>
    <t>Övriga vätskor</t>
  </si>
  <si>
    <t>Isosource Mix</t>
  </si>
  <si>
    <t>Isosource Protein</t>
  </si>
  <si>
    <t>Isosource Energy</t>
  </si>
  <si>
    <t>Isosource Energy Fibre</t>
  </si>
  <si>
    <t>Sondnäring</t>
  </si>
  <si>
    <t>Kabiven</t>
  </si>
  <si>
    <t>SmofKabiven</t>
  </si>
  <si>
    <t>Smof Kabiven Perifer</t>
  </si>
  <si>
    <t>kcal</t>
  </si>
  <si>
    <t>Novasource GI Control</t>
  </si>
  <si>
    <t>Survimed OPD</t>
  </si>
  <si>
    <t>protein</t>
  </si>
  <si>
    <t>Olimel N9</t>
  </si>
  <si>
    <t>Olimel N7</t>
  </si>
  <si>
    <t>Olimel N5</t>
  </si>
  <si>
    <t>Olimel Perifer N4</t>
  </si>
  <si>
    <t>Nutriflex lipid peri</t>
  </si>
  <si>
    <t>Nutriflex lipid plus</t>
  </si>
  <si>
    <t>Nutriflex lipid special</t>
  </si>
  <si>
    <t>Nutriflex omega special</t>
  </si>
  <si>
    <t>Ange given volym i ml i den gula kolumnen</t>
  </si>
  <si>
    <t>Ange given volym i ml i den lila kolumnen</t>
  </si>
  <si>
    <t>Isosource Standard</t>
  </si>
  <si>
    <t>Isosource Standard Fibre</t>
  </si>
  <si>
    <t>ProvideXtra Drink, 200 ml/fl</t>
  </si>
  <si>
    <t>Resource Protein, 200 ml/fl</t>
  </si>
  <si>
    <t>Renilon 4.0, 125 ml/förp</t>
  </si>
  <si>
    <t>Renilon 7.5, 125 ml/förp</t>
  </si>
  <si>
    <t>Ange konsumerad mängd i ml eller gram i den blå kolumnen</t>
  </si>
  <si>
    <t>ml/g</t>
  </si>
  <si>
    <t>Berikningsprodukter</t>
  </si>
  <si>
    <t>Liquigen</t>
  </si>
  <si>
    <t>MCT-olja</t>
  </si>
  <si>
    <t>g</t>
  </si>
  <si>
    <t>Kabiven peri</t>
  </si>
  <si>
    <t>SmofKabiven peri</t>
  </si>
  <si>
    <t>Olimel N7/5/4</t>
  </si>
  <si>
    <t>Nutriflex peri o plus</t>
  </si>
  <si>
    <t>N-flex special o omega spec</t>
  </si>
  <si>
    <t>Glukos 2,5%</t>
  </si>
  <si>
    <t>Fresubin Jucy, 200 ml/fl</t>
  </si>
  <si>
    <t>Fresubin Protein Energy, 200 ml/fl</t>
  </si>
  <si>
    <t>Fortimel Compact Protein, 125 ml/fl</t>
  </si>
  <si>
    <t>Resource Komplett Näring 1.5, 200 ml/fl</t>
  </si>
  <si>
    <t>Resource 2.0 med eller utan fibrer, 200 ml/fl</t>
  </si>
  <si>
    <t>Fresubin Dessert Fruit, 125 g/bägare</t>
  </si>
  <si>
    <t>Resource energipulver, 1 msk = 7,5 g</t>
  </si>
  <si>
    <t>Söta drycker/efterrättssoppa/ProViva</t>
  </si>
  <si>
    <t>Lättöl, lättdryck (lingon)</t>
  </si>
  <si>
    <t>Lättmjölk, lättfil, lättyoghurt (0,5%)</t>
  </si>
  <si>
    <t>Mellanmjölk (1,5%)</t>
  </si>
  <si>
    <t>Mjölk, fil, naturell youghurt (3%)</t>
  </si>
  <si>
    <t>dl</t>
  </si>
  <si>
    <t>Fruktyoghurt inkl laktosfri och vanilj</t>
  </si>
  <si>
    <t>Mjölk, fil, yoghurt, grädde</t>
  </si>
  <si>
    <t>Vispgrädde, ovispad, 1 msk = 15 ml</t>
  </si>
  <si>
    <t>Vispgrädde, vispad, 1 msk = 15 ml</t>
  </si>
  <si>
    <t>Créme Fraiche, 1 msk = 15 ml</t>
  </si>
  <si>
    <t>Kaffegrädde, 1 dl = 100 ml</t>
  </si>
  <si>
    <t>Kaffemjölk, 1 st = 20 ml</t>
  </si>
  <si>
    <t>antal</t>
  </si>
  <si>
    <t>Mjukt bröd, skiva</t>
  </si>
  <si>
    <t>Hårt bröd, skiva</t>
  </si>
  <si>
    <t>Ägg</t>
  </si>
  <si>
    <t>Muffins</t>
  </si>
  <si>
    <t>Småkaka, Ballerina</t>
  </si>
  <si>
    <t>Smörgåsrån, Saltiner</t>
  </si>
  <si>
    <t>Ange mängd i den enhet som står överst vid varje grupp. Vid del av antal anges mänden med decimal, tex 0,5 eller 1,5.</t>
  </si>
  <si>
    <t>Nutrison Protein Plus Multifibre</t>
  </si>
  <si>
    <t>Fresubin Complete 1000 kcal</t>
  </si>
  <si>
    <t>Fresubin Complete 1200 kcal</t>
  </si>
  <si>
    <t>Diben</t>
  </si>
  <si>
    <t>Fresubin Soya Fibre</t>
  </si>
  <si>
    <t>vätska</t>
  </si>
  <si>
    <t>Energi från sondnäring:</t>
  </si>
  <si>
    <t>Protein från sondnäring:</t>
  </si>
  <si>
    <t>Vätska från sondnäring:</t>
  </si>
  <si>
    <t>Anpassat innehåll eller konsistens</t>
  </si>
  <si>
    <t>Energi från näringsdrycker:</t>
  </si>
  <si>
    <t xml:space="preserve">Protein från näringsdrycker: </t>
  </si>
  <si>
    <t xml:space="preserve">Vätska från näringsdrycker: </t>
  </si>
  <si>
    <t>Resource Minimax</t>
  </si>
  <si>
    <t>Pålägg (ost, korv), per smörgås</t>
  </si>
  <si>
    <t>Pålägg (skinka), per smörgås</t>
  </si>
  <si>
    <t>Tårtbit, bakelse</t>
  </si>
  <si>
    <r>
      <t>Cornflakes,</t>
    </r>
    <r>
      <rPr>
        <sz val="10"/>
        <rFont val="Arial"/>
        <family val="2"/>
      </rPr>
      <t xml:space="preserve"> havrefras</t>
    </r>
  </si>
  <si>
    <r>
      <t xml:space="preserve">Desserost till </t>
    </r>
    <r>
      <rPr>
        <sz val="10"/>
        <rFont val="Arial"/>
        <family val="2"/>
      </rPr>
      <t>1 smörgås</t>
    </r>
  </si>
  <si>
    <t>I den gröna kolumnen skriver man 1 om hela portionen äts upp, 0,75 om 3/4 av portionen äts upp, 0,5 om hälften äts upp osv</t>
  </si>
  <si>
    <t>Choklad, ruta eller pralin</t>
  </si>
  <si>
    <t>Salta pinnar</t>
  </si>
  <si>
    <t>Popcorn, dl</t>
  </si>
  <si>
    <t>Potatischips, dl</t>
  </si>
  <si>
    <t>Smågodis, g</t>
  </si>
  <si>
    <t>Smågodis, bit</t>
  </si>
  <si>
    <t>Naturgodis, g</t>
  </si>
  <si>
    <t>Chokladdryck Ögonblink (med 2 dl vatten)</t>
  </si>
  <si>
    <t>Fryst enportionsrätt</t>
  </si>
  <si>
    <t>Pan Pizza</t>
  </si>
  <si>
    <t>Färsk frukt, banan</t>
  </si>
  <si>
    <t>Färsk frukt, vindruvor, dl</t>
  </si>
  <si>
    <t>Färsk frukt, övriga</t>
  </si>
  <si>
    <t>Socker, bit</t>
  </si>
  <si>
    <t>Socker, msk</t>
  </si>
  <si>
    <t>Socker, rör</t>
  </si>
  <si>
    <t>Honung, tsk</t>
  </si>
  <si>
    <t>Olja, flytande margarin, tsk</t>
  </si>
  <si>
    <t>Sylt (osötad/sötningsmedel), msk</t>
  </si>
  <si>
    <t>Mos, sylt, marmelad, msk</t>
  </si>
  <si>
    <t>Mat och dryck</t>
  </si>
  <si>
    <t>Näringsdryck och berikning</t>
  </si>
  <si>
    <t>Parenteral nutrition och vätska</t>
  </si>
  <si>
    <t>Elemental 028 Extra, 1 påse till slutvolym 500 ml</t>
  </si>
  <si>
    <t xml:space="preserve">            </t>
  </si>
  <si>
    <r>
      <t>Kaffe/te/vatten/lightdryck/lightläsk/</t>
    </r>
    <r>
      <rPr>
        <sz val="10"/>
        <rFont val="Arial"/>
        <family val="2"/>
      </rPr>
      <t>drickbuljong</t>
    </r>
  </si>
  <si>
    <t>Energi från frukost, mellanmål och dryck:</t>
  </si>
  <si>
    <t>Protein från frukost, mellanmål och dryck:</t>
  </si>
  <si>
    <t>Vätska från frukost, mellanmål och dryck:</t>
  </si>
  <si>
    <t>Parenteral nutrition</t>
  </si>
  <si>
    <t>Parenteral vätska</t>
  </si>
  <si>
    <t xml:space="preserve">protein </t>
  </si>
  <si>
    <t>energi</t>
  </si>
  <si>
    <t>Energi från parenteral nutrition:</t>
  </si>
  <si>
    <t>Protein från parenteral nutrition:</t>
  </si>
  <si>
    <t xml:space="preserve">Vätska från parenteral nutrition och vätska: </t>
  </si>
  <si>
    <t>Energi från lunch och middag:</t>
  </si>
  <si>
    <t>Protein från lunch och middag:</t>
  </si>
  <si>
    <t>Vätska från lunch och middag:</t>
  </si>
  <si>
    <t>Margarin lätt, 40% (portionsförpackning) 10g</t>
  </si>
  <si>
    <r>
      <t>Nötter, mande</t>
    </r>
    <r>
      <rPr>
        <sz val="10"/>
        <rFont val="Arial"/>
        <family val="2"/>
      </rPr>
      <t>l, dl</t>
    </r>
  </si>
  <si>
    <r>
      <t xml:space="preserve">Torkad frukt, </t>
    </r>
    <r>
      <rPr>
        <sz val="10"/>
        <rFont val="Arial"/>
        <family val="2"/>
      </rPr>
      <t>dl</t>
    </r>
  </si>
  <si>
    <t>Sill, gaffelbit</t>
  </si>
  <si>
    <t>Kexchoklad, Dajm, Japp, 25-30 g/bit</t>
  </si>
  <si>
    <t xml:space="preserve">Riskaka, Mariekex, Wafers </t>
  </si>
  <si>
    <t>Chokladkaka, 100 g/kaka</t>
  </si>
  <si>
    <t>Totalt dygnsintag</t>
  </si>
  <si>
    <t>Energi</t>
  </si>
  <si>
    <t>Protein</t>
  </si>
  <si>
    <t>Vätska</t>
  </si>
  <si>
    <t>Liva Nypondryck</t>
  </si>
  <si>
    <t>Kesella vanilj, 1 msk = 15 ml</t>
  </si>
  <si>
    <t>Havregurt naturell, 1 dl = 100 ml</t>
  </si>
  <si>
    <t>Protino dessertyoghurt, 1 st = 80 g</t>
  </si>
  <si>
    <t>Inlagd gurka, msk</t>
  </si>
  <si>
    <t>Glass, grädd, 1 bägare</t>
  </si>
  <si>
    <t>Glasspinne gräddglass</t>
  </si>
  <si>
    <t>Glasspinne isglass</t>
  </si>
  <si>
    <t>Glass, Skee-is, energi- och proteinrik</t>
  </si>
  <si>
    <t>Frysta bär, dl</t>
  </si>
  <si>
    <t>Fruktpuré barn, msk</t>
  </si>
  <si>
    <t>Vetelängd/ rulltårta, skiva à 2 cm</t>
  </si>
  <si>
    <t>Ostbågar, dl</t>
  </si>
  <si>
    <t>Varm soppa (Varma koppen)</t>
  </si>
  <si>
    <t>Duocal, 1 msk = 8 g</t>
  </si>
  <si>
    <t>Diben 1.5 kcal HP</t>
  </si>
  <si>
    <t>Fresubin 2 kcal HP Fibre</t>
  </si>
  <si>
    <t>Fortini Multi Fibre</t>
  </si>
  <si>
    <t>Fortini Smoothie</t>
  </si>
  <si>
    <t>Calogen</t>
  </si>
  <si>
    <t>Fresubin Yocrème, 125 g/bägare</t>
  </si>
  <si>
    <t>Fresubin Protein Powder, 1 skopa = 5 g</t>
  </si>
  <si>
    <t>Icke-klara</t>
  </si>
  <si>
    <t>Klara</t>
  </si>
  <si>
    <t>Fresubin Thickened Stage 1</t>
  </si>
  <si>
    <t>Gröt, flingor</t>
  </si>
  <si>
    <t>Fryst paj</t>
  </si>
  <si>
    <t>Fresubin Yodrink, 200 ml/fl</t>
  </si>
  <si>
    <t>Resource Addera Plus, 200 ml/fl</t>
  </si>
  <si>
    <t>Nutilis Complete Stage 2, 125 g/bägare</t>
  </si>
  <si>
    <t>Fresubin 5 kcal shot</t>
  </si>
  <si>
    <t>Elemental 028 Extra Liquid, 250 ml/förp</t>
  </si>
  <si>
    <t>Resource Preload, 1 påse + 400 ml vatten ger 450 ml</t>
  </si>
  <si>
    <t>Isosource Protein Fibre</t>
  </si>
  <si>
    <t>Kräm</t>
  </si>
  <si>
    <t>Havredryck</t>
  </si>
  <si>
    <t>Sojadryck</t>
  </si>
  <si>
    <t>Turkisk yoghurt</t>
  </si>
  <si>
    <t>Drömyoggi</t>
  </si>
  <si>
    <t>Makrill i tomatsås (på tub), 30 g</t>
  </si>
  <si>
    <t>Tunna pannkakor</t>
  </si>
  <si>
    <t>Kelda soppa, 1 port (2,5 dl)</t>
  </si>
  <si>
    <t>Kelda soppa, 1 dl</t>
  </si>
  <si>
    <t>Kycklingbuljong, energi- och proteinrik, 230 ml</t>
  </si>
  <si>
    <t>Chokladboll (delicato)</t>
  </si>
  <si>
    <t>Kanelbulle, mazarin</t>
  </si>
  <si>
    <t>Morotskaka, 1 bit (75 g)</t>
  </si>
  <si>
    <t>Sorbet, mango, dl</t>
  </si>
  <si>
    <t>Glass, oatly, dl</t>
  </si>
  <si>
    <t>Chokladpudding (1:2 pulver med mjölk 3%), dl</t>
  </si>
  <si>
    <t>Hummus med oliver och pitabröd</t>
  </si>
  <si>
    <t>Mjölkpannacotta med marängsmulor</t>
  </si>
  <si>
    <t>Charktallrik med salami och cornichons</t>
  </si>
  <si>
    <t>Mellanmål från köket (per portion)</t>
  </si>
  <si>
    <t>Dagens rätt / alternativ</t>
  </si>
  <si>
    <t>Dagens soppa</t>
  </si>
  <si>
    <t>Konsistensanpassad, lunch</t>
  </si>
  <si>
    <t>Grundkost och övrig specialkost, lunch</t>
  </si>
  <si>
    <t>Dagens vegetariska (LOV)</t>
  </si>
  <si>
    <t>Grov paté</t>
  </si>
  <si>
    <t>Timbalkost</t>
  </si>
  <si>
    <t>Flytande kost</t>
  </si>
  <si>
    <t>Specialkost, lunch</t>
  </si>
  <si>
    <t>Vegankost</t>
  </si>
  <si>
    <t>Flytande dessertsoppa</t>
  </si>
  <si>
    <t>Timbalkost, dessert</t>
  </si>
  <si>
    <t>Grov paté, dessert</t>
  </si>
  <si>
    <t>Grundkost, proteinrik dessert</t>
  </si>
  <si>
    <t>Konsistensanpassad, middag</t>
  </si>
  <si>
    <t>Fresubin 2 kcal drink med eller utan fiber, 200ml/fl</t>
  </si>
  <si>
    <t>Fresubin 2 kcal crème, 125 g/bägare</t>
  </si>
  <si>
    <t>Proteinreducerad kost</t>
  </si>
  <si>
    <t>Gastropares/magtarm kost</t>
  </si>
  <si>
    <t>Specialkost, middag</t>
  </si>
  <si>
    <t>Grundkost och övrig specialkost, middag</t>
  </si>
  <si>
    <t>Grundkost, dessert</t>
  </si>
  <si>
    <t>Dessert</t>
  </si>
  <si>
    <t>Citronfromage med vispad grädde</t>
  </si>
  <si>
    <t>Proteinrik sockerkaka, olika smaker</t>
  </si>
  <si>
    <t>Dagens bärsmoothie</t>
  </si>
  <si>
    <t>preOp</t>
  </si>
  <si>
    <t>Transplantationskost</t>
  </si>
  <si>
    <t>Transplantation, dessert</t>
  </si>
  <si>
    <t>Proteinreducerad, dessert</t>
  </si>
  <si>
    <t>Gastropares/magtarm, dessert</t>
  </si>
  <si>
    <t>Vegankost,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</si>
</sst>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EBE9"/>
        <bgColor indexed="64"/>
      </patternFill>
    </fill>
    <fill>
      <patternFill patternType="solid">
        <fgColor rgb="FF33D1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1" fontId="0" fillId="0" borderId="0" xfId="0" applyNumberFormat="1" applyFill="1" applyBorder="1"/>
    <xf numFmtId="0" fontId="5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Fill="1"/>
    <xf numFmtId="0" fontId="6" fillId="2" borderId="0" xfId="0" applyFont="1" applyFill="1"/>
    <xf numFmtId="0" fontId="4" fillId="2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4" fillId="4" borderId="0" xfId="0" applyFont="1" applyFill="1"/>
    <xf numFmtId="0" fontId="1" fillId="0" borderId="4" xfId="0" applyFont="1" applyBorder="1"/>
    <xf numFmtId="0" fontId="1" fillId="0" borderId="1" xfId="0" applyFont="1" applyFill="1" applyBorder="1"/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" xfId="0" applyFill="1" applyBorder="1"/>
    <xf numFmtId="0" fontId="7" fillId="0" borderId="0" xfId="0" applyFont="1"/>
    <xf numFmtId="0" fontId="11" fillId="0" borderId="0" xfId="0" applyFont="1"/>
    <xf numFmtId="0" fontId="6" fillId="3" borderId="0" xfId="0" applyFont="1" applyFill="1" applyBorder="1" applyAlignment="1">
      <alignment horizontal="right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left"/>
    </xf>
    <xf numFmtId="0" fontId="11" fillId="3" borderId="11" xfId="0" applyFont="1" applyFill="1" applyBorder="1"/>
    <xf numFmtId="0" fontId="6" fillId="3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left"/>
    </xf>
    <xf numFmtId="0" fontId="0" fillId="3" borderId="0" xfId="0" applyFill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0" fontId="4" fillId="0" borderId="4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2" fillId="0" borderId="0" xfId="0" applyFont="1"/>
    <xf numFmtId="0" fontId="6" fillId="4" borderId="6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14" fillId="0" borderId="0" xfId="0" applyFont="1"/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Fill="1"/>
    <xf numFmtId="0" fontId="0" fillId="2" borderId="0" xfId="0" applyFill="1"/>
    <xf numFmtId="0" fontId="0" fillId="2" borderId="7" xfId="0" applyFill="1" applyBorder="1"/>
    <xf numFmtId="0" fontId="0" fillId="2" borderId="12" xfId="0" applyFill="1" applyBorder="1"/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Protection="1"/>
    <xf numFmtId="0" fontId="2" fillId="5" borderId="6" xfId="0" applyFont="1" applyFill="1" applyBorder="1" applyAlignment="1" applyProtection="1">
      <alignment horizontal="right"/>
    </xf>
    <xf numFmtId="0" fontId="2" fillId="5" borderId="9" xfId="0" applyFont="1" applyFill="1" applyBorder="1" applyAlignment="1" applyProtection="1">
      <alignment horizontal="right"/>
    </xf>
    <xf numFmtId="0" fontId="2" fillId="5" borderId="11" xfId="0" applyFont="1" applyFill="1" applyBorder="1" applyAlignment="1" applyProtection="1">
      <alignment horizontal="right"/>
    </xf>
    <xf numFmtId="0" fontId="2" fillId="5" borderId="8" xfId="0" applyFont="1" applyFill="1" applyBorder="1" applyProtection="1"/>
    <xf numFmtId="0" fontId="2" fillId="5" borderId="10" xfId="0" applyFont="1" applyFill="1" applyBorder="1" applyProtection="1"/>
    <xf numFmtId="0" fontId="2" fillId="5" borderId="13" xfId="0" applyFont="1" applyFill="1" applyBorder="1" applyProtection="1"/>
    <xf numFmtId="0" fontId="1" fillId="0" borderId="1" xfId="0" applyFont="1" applyBorder="1" applyProtection="1"/>
    <xf numFmtId="0" fontId="4" fillId="0" borderId="1" xfId="0" applyFont="1" applyBorder="1" applyProtection="1"/>
    <xf numFmtId="0" fontId="6" fillId="5" borderId="0" xfId="0" applyFont="1" applyFill="1" applyProtection="1"/>
    <xf numFmtId="0" fontId="16" fillId="5" borderId="0" xfId="0" applyFont="1" applyFill="1" applyProtection="1"/>
    <xf numFmtId="0" fontId="16" fillId="5" borderId="0" xfId="0" applyFont="1" applyFill="1" applyBorder="1" applyProtection="1"/>
    <xf numFmtId="0" fontId="6" fillId="5" borderId="0" xfId="0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Protection="1"/>
    <xf numFmtId="0" fontId="12" fillId="0" borderId="0" xfId="0" applyFont="1" applyFill="1" applyBorder="1" applyProtection="1"/>
    <xf numFmtId="0" fontId="12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1" fillId="0" borderId="1" xfId="0" applyFont="1" applyFill="1" applyBorder="1" applyProtection="1"/>
    <xf numFmtId="0" fontId="17" fillId="0" borderId="0" xfId="0" applyFont="1" applyFill="1" applyBorder="1" applyProtection="1"/>
    <xf numFmtId="0" fontId="5" fillId="0" borderId="0" xfId="0" applyFont="1" applyAlignment="1">
      <alignment horizontal="right"/>
    </xf>
    <xf numFmtId="0" fontId="2" fillId="6" borderId="20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2" fillId="6" borderId="3" xfId="0" applyFont="1" applyFill="1" applyBorder="1" applyProtection="1"/>
    <xf numFmtId="0" fontId="0" fillId="7" borderId="0" xfId="0" applyFill="1" applyProtection="1"/>
    <xf numFmtId="0" fontId="2" fillId="7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6" fillId="7" borderId="0" xfId="0" applyFont="1" applyFill="1" applyProtection="1"/>
    <xf numFmtId="0" fontId="6" fillId="7" borderId="15" xfId="0" applyFont="1" applyFill="1" applyBorder="1" applyProtection="1"/>
    <xf numFmtId="0" fontId="6" fillId="7" borderId="16" xfId="0" applyFont="1" applyFill="1" applyBorder="1" applyProtection="1"/>
    <xf numFmtId="0" fontId="0" fillId="7" borderId="0" xfId="0" applyFill="1" applyBorder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2" fillId="7" borderId="17" xfId="0" applyFont="1" applyFill="1" applyBorder="1" applyAlignment="1" applyProtection="1">
      <alignment horizontal="right"/>
    </xf>
    <xf numFmtId="0" fontId="2" fillId="7" borderId="7" xfId="0" applyFont="1" applyFill="1" applyBorder="1" applyProtection="1"/>
    <xf numFmtId="0" fontId="4" fillId="7" borderId="7" xfId="0" applyFont="1" applyFill="1" applyBorder="1" applyProtection="1"/>
    <xf numFmtId="0" fontId="2" fillId="7" borderId="8" xfId="0" applyFont="1" applyFill="1" applyBorder="1" applyProtection="1"/>
    <xf numFmtId="0" fontId="0" fillId="7" borderId="9" xfId="0" applyFill="1" applyBorder="1" applyProtection="1"/>
    <xf numFmtId="0" fontId="2" fillId="7" borderId="15" xfId="0" applyFont="1" applyFill="1" applyBorder="1" applyAlignment="1" applyProtection="1">
      <alignment horizontal="right"/>
    </xf>
    <xf numFmtId="0" fontId="2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10" xfId="0" applyFont="1" applyFill="1" applyBorder="1" applyProtection="1"/>
    <xf numFmtId="0" fontId="0" fillId="7" borderId="11" xfId="0" applyFill="1" applyBorder="1" applyProtection="1"/>
    <xf numFmtId="0" fontId="0" fillId="7" borderId="12" xfId="0" applyFill="1" applyBorder="1" applyProtection="1"/>
    <xf numFmtId="0" fontId="2" fillId="7" borderId="18" xfId="0" applyFont="1" applyFill="1" applyBorder="1" applyAlignment="1" applyProtection="1">
      <alignment horizontal="right"/>
    </xf>
    <xf numFmtId="0" fontId="2" fillId="7" borderId="12" xfId="0" applyFont="1" applyFill="1" applyBorder="1" applyProtection="1"/>
    <xf numFmtId="0" fontId="4" fillId="7" borderId="12" xfId="0" applyFont="1" applyFill="1" applyBorder="1" applyProtection="1"/>
    <xf numFmtId="0" fontId="2" fillId="7" borderId="13" xfId="0" applyFont="1" applyFill="1" applyBorder="1" applyProtection="1"/>
    <xf numFmtId="0" fontId="2" fillId="7" borderId="3" xfId="0" applyFont="1" applyFill="1" applyBorder="1" applyProtection="1"/>
    <xf numFmtId="0" fontId="2" fillId="7" borderId="20" xfId="0" applyFont="1" applyFill="1" applyBorder="1" applyProtection="1"/>
    <xf numFmtId="0" fontId="0" fillId="7" borderId="20" xfId="0" applyFill="1" applyBorder="1" applyProtection="1"/>
    <xf numFmtId="0" fontId="2" fillId="7" borderId="3" xfId="0" applyFont="1" applyFill="1" applyBorder="1" applyAlignment="1" applyProtection="1">
      <alignment horizontal="right"/>
    </xf>
    <xf numFmtId="0" fontId="2" fillId="7" borderId="1" xfId="0" applyFont="1" applyFill="1" applyBorder="1" applyAlignment="1" applyProtection="1">
      <alignment horizontal="right"/>
    </xf>
    <xf numFmtId="0" fontId="0" fillId="0" borderId="4" xfId="0" applyBorder="1" applyProtection="1"/>
    <xf numFmtId="0" fontId="6" fillId="8" borderId="1" xfId="0" applyFont="1" applyFill="1" applyBorder="1"/>
    <xf numFmtId="0" fontId="2" fillId="8" borderId="1" xfId="0" applyFont="1" applyFill="1" applyBorder="1" applyAlignment="1">
      <alignment horizontal="right"/>
    </xf>
    <xf numFmtId="0" fontId="2" fillId="8" borderId="20" xfId="0" applyFont="1" applyFill="1" applyBorder="1" applyAlignment="1">
      <alignment horizontal="right"/>
    </xf>
    <xf numFmtId="0" fontId="2" fillId="8" borderId="19" xfId="0" applyFont="1" applyFill="1" applyBorder="1" applyAlignment="1">
      <alignment horizontal="right"/>
    </xf>
    <xf numFmtId="0" fontId="6" fillId="8" borderId="3" xfId="0" applyFont="1" applyFill="1" applyBorder="1"/>
    <xf numFmtId="0" fontId="6" fillId="10" borderId="1" xfId="0" applyFont="1" applyFill="1" applyBorder="1"/>
    <xf numFmtId="0" fontId="2" fillId="10" borderId="1" xfId="0" applyFont="1" applyFill="1" applyBorder="1" applyAlignment="1">
      <alignment horizontal="right"/>
    </xf>
    <xf numFmtId="0" fontId="6" fillId="9" borderId="1" xfId="0" applyFont="1" applyFill="1" applyBorder="1"/>
    <xf numFmtId="0" fontId="2" fillId="9" borderId="1" xfId="0" applyFont="1" applyFill="1" applyBorder="1" applyAlignment="1">
      <alignment horizontal="right"/>
    </xf>
    <xf numFmtId="0" fontId="2" fillId="6" borderId="3" xfId="0" applyFont="1" applyFill="1" applyBorder="1" applyAlignment="1" applyProtection="1">
      <alignment horizontal="right"/>
    </xf>
    <xf numFmtId="0" fontId="2" fillId="6" borderId="3" xfId="0" applyFont="1" applyFill="1" applyBorder="1" applyAlignment="1" applyProtection="1">
      <alignment horizontal="right"/>
      <protection locked="0"/>
    </xf>
    <xf numFmtId="0" fontId="2" fillId="6" borderId="19" xfId="0" applyFont="1" applyFill="1" applyBorder="1" applyAlignment="1" applyProtection="1">
      <alignment horizontal="right"/>
      <protection locked="0"/>
    </xf>
    <xf numFmtId="0" fontId="10" fillId="11" borderId="9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8" fillId="12" borderId="9" xfId="0" applyFont="1" applyFill="1" applyBorder="1" applyAlignment="1">
      <alignment horizontal="right" vertical="center"/>
    </xf>
    <xf numFmtId="0" fontId="0" fillId="0" borderId="7" xfId="0" applyFill="1" applyBorder="1"/>
    <xf numFmtId="0" fontId="18" fillId="12" borderId="0" xfId="0" applyFont="1" applyFill="1" applyBorder="1" applyAlignment="1">
      <alignment horizontal="right" vertical="center"/>
    </xf>
    <xf numFmtId="1" fontId="18" fillId="12" borderId="0" xfId="0" applyNumberFormat="1" applyFont="1" applyFill="1" applyBorder="1" applyAlignment="1">
      <alignment horizontal="left" vertical="center"/>
    </xf>
    <xf numFmtId="1" fontId="18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0" fillId="11" borderId="21" xfId="0" applyFont="1" applyFill="1" applyBorder="1" applyAlignment="1">
      <alignment horizontal="right"/>
    </xf>
    <xf numFmtId="1" fontId="18" fillId="12" borderId="13" xfId="0" applyNumberFormat="1" applyFont="1" applyFill="1" applyBorder="1" applyAlignment="1">
      <alignment horizontal="left" vertical="center"/>
    </xf>
    <xf numFmtId="0" fontId="18" fillId="11" borderId="14" xfId="0" applyFont="1" applyFill="1" applyBorder="1" applyAlignment="1">
      <alignment horizontal="right"/>
    </xf>
    <xf numFmtId="0" fontId="19" fillId="11" borderId="9" xfId="0" applyFont="1" applyFill="1" applyBorder="1" applyAlignment="1">
      <alignment horizontal="right"/>
    </xf>
    <xf numFmtId="1" fontId="19" fillId="11" borderId="0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right"/>
    </xf>
    <xf numFmtId="0" fontId="19" fillId="11" borderId="0" xfId="0" applyFont="1" applyFill="1" applyBorder="1" applyAlignment="1">
      <alignment horizontal="center"/>
    </xf>
    <xf numFmtId="1" fontId="19" fillId="11" borderId="0" xfId="0" applyNumberFormat="1" applyFont="1" applyFill="1" applyBorder="1" applyAlignment="1">
      <alignment horizontal="right"/>
    </xf>
    <xf numFmtId="1" fontId="19" fillId="11" borderId="22" xfId="0" applyNumberFormat="1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1" fontId="19" fillId="11" borderId="10" xfId="0" applyNumberFormat="1" applyFont="1" applyFill="1" applyBorder="1" applyAlignment="1">
      <alignment horizontal="center"/>
    </xf>
    <xf numFmtId="0" fontId="19" fillId="11" borderId="9" xfId="0" applyFont="1" applyFill="1" applyBorder="1"/>
    <xf numFmtId="0" fontId="19" fillId="11" borderId="0" xfId="0" applyFont="1" applyFill="1" applyBorder="1"/>
    <xf numFmtId="0" fontId="19" fillId="11" borderId="10" xfId="0" applyFont="1" applyFill="1" applyBorder="1"/>
    <xf numFmtId="1" fontId="19" fillId="11" borderId="23" xfId="0" applyNumberFormat="1" applyFont="1" applyFill="1" applyBorder="1" applyAlignment="1">
      <alignment horizontal="right"/>
    </xf>
    <xf numFmtId="0" fontId="19" fillId="11" borderId="15" xfId="0" applyFont="1" applyFill="1" applyBorder="1" applyAlignment="1">
      <alignment horizontal="right"/>
    </xf>
    <xf numFmtId="1" fontId="19" fillId="11" borderId="15" xfId="0" applyNumberFormat="1" applyFont="1" applyFill="1" applyBorder="1" applyAlignment="1">
      <alignment horizontal="right"/>
    </xf>
    <xf numFmtId="1" fontId="18" fillId="12" borderId="12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0" fillId="8" borderId="7" xfId="0" applyFill="1" applyBorder="1"/>
    <xf numFmtId="0" fontId="0" fillId="8" borderId="0" xfId="0" applyFill="1" applyBorder="1"/>
    <xf numFmtId="0" fontId="1" fillId="8" borderId="12" xfId="0" applyFont="1" applyFill="1" applyBorder="1"/>
    <xf numFmtId="0" fontId="0" fillId="13" borderId="1" xfId="0" applyFill="1" applyBorder="1" applyProtection="1"/>
    <xf numFmtId="0" fontId="1" fillId="13" borderId="1" xfId="0" applyFont="1" applyFill="1" applyBorder="1" applyProtection="1"/>
    <xf numFmtId="0" fontId="1" fillId="0" borderId="4" xfId="0" applyFont="1" applyFill="1" applyBorder="1"/>
    <xf numFmtId="0" fontId="0" fillId="0" borderId="4" xfId="0" applyFill="1" applyBorder="1"/>
    <xf numFmtId="0" fontId="4" fillId="0" borderId="1" xfId="0" applyFont="1" applyFill="1" applyBorder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12" xfId="0" applyFont="1" applyFill="1" applyBorder="1" applyProtection="1"/>
    <xf numFmtId="0" fontId="0" fillId="7" borderId="1" xfId="0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10" borderId="1" xfId="0" applyNumberFormat="1" applyFill="1" applyBorder="1" applyProtection="1">
      <protection locked="0"/>
    </xf>
    <xf numFmtId="0" fontId="3" fillId="0" borderId="1" xfId="0" applyFont="1" applyBorder="1" applyProtection="1"/>
    <xf numFmtId="0" fontId="0" fillId="7" borderId="1" xfId="0" applyFill="1" applyBorder="1" applyProtection="1"/>
    <xf numFmtId="0" fontId="2" fillId="7" borderId="1" xfId="0" applyFont="1" applyFill="1" applyBorder="1" applyProtection="1"/>
    <xf numFmtId="0" fontId="1" fillId="14" borderId="1" xfId="0" applyFont="1" applyFill="1" applyBorder="1" applyProtection="1"/>
    <xf numFmtId="0" fontId="0" fillId="14" borderId="1" xfId="0" applyFill="1" applyBorder="1" applyProtection="1"/>
    <xf numFmtId="0" fontId="10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FF"/>
      <color rgb="FF33D1CD"/>
      <color rgb="FFA5EBE9"/>
      <color rgb="FFFFFF99"/>
      <color rgb="FFCC99FF"/>
      <color rgb="FFCC66FF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Q49"/>
  <sheetViews>
    <sheetView zoomScaleNormal="75" zoomScaleSheetLayoutView="75" workbookViewId="0">
      <selection activeCell="D45" sqref="D45"/>
    </sheetView>
  </sheetViews>
  <sheetFormatPr defaultColWidth="9.140625" defaultRowHeight="12.75" x14ac:dyDescent="0.2"/>
  <cols>
    <col min="1" max="1" width="42.5703125" style="81" customWidth="1"/>
    <col min="2" max="2" width="5.42578125" style="81" customWidth="1"/>
    <col min="3" max="3" width="6.7109375" style="81" customWidth="1"/>
    <col min="4" max="4" width="7" style="81" customWidth="1"/>
    <col min="5" max="5" width="0.28515625" style="81" customWidth="1"/>
    <col min="6" max="6" width="2.42578125" style="80" customWidth="1"/>
    <col min="7" max="7" width="37.42578125" style="81" customWidth="1"/>
    <col min="8" max="8" width="5.42578125" style="81" customWidth="1"/>
    <col min="9" max="9" width="6.7109375" style="81" customWidth="1"/>
    <col min="10" max="10" width="6.85546875" style="81" customWidth="1"/>
    <col min="11" max="11" width="0.28515625" style="81" customWidth="1"/>
    <col min="12" max="12" width="2.42578125" style="81" customWidth="1"/>
    <col min="13" max="13" width="32.28515625" style="81" customWidth="1"/>
    <col min="14" max="14" width="5.42578125" style="81" customWidth="1"/>
    <col min="15" max="15" width="6.7109375" style="81" customWidth="1"/>
    <col min="16" max="16" width="6.85546875" style="81" customWidth="1"/>
    <col min="17" max="17" width="8" style="81" hidden="1" customWidth="1"/>
    <col min="18" max="18" width="31.140625" style="81" customWidth="1"/>
    <col min="19" max="19" width="6.5703125" style="81" customWidth="1"/>
    <col min="20" max="20" width="7.85546875" style="81" customWidth="1"/>
    <col min="21" max="21" width="8.28515625" style="81" customWidth="1"/>
    <col min="22" max="22" width="9.140625" style="81"/>
    <col min="23" max="23" width="6.42578125" style="81" customWidth="1"/>
    <col min="24" max="16384" width="9.140625" style="81"/>
  </cols>
  <sheetData>
    <row r="1" spans="1:17" s="76" customFormat="1" ht="15.75" customHeight="1" x14ac:dyDescent="0.3">
      <c r="A1" s="96" t="s">
        <v>24</v>
      </c>
      <c r="B1" s="97"/>
      <c r="C1" s="97"/>
      <c r="D1" s="97"/>
      <c r="E1" s="97"/>
      <c r="F1" s="98"/>
      <c r="G1" s="97"/>
      <c r="H1" s="97"/>
      <c r="I1" s="97"/>
      <c r="J1" s="97"/>
      <c r="K1" s="97"/>
      <c r="L1" s="97"/>
      <c r="M1" s="97"/>
    </row>
    <row r="2" spans="1:17" s="77" customFormat="1" ht="14.25" customHeight="1" x14ac:dyDescent="0.3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/>
    </row>
    <row r="3" spans="1:17" s="77" customFormat="1" ht="14.25" customHeight="1" x14ac:dyDescent="0.25">
      <c r="F3" s="78"/>
    </row>
    <row r="4" spans="1:17" s="77" customFormat="1" ht="14.25" customHeight="1" x14ac:dyDescent="0.25">
      <c r="C4" s="77" t="s">
        <v>167</v>
      </c>
      <c r="D4" s="77" t="s">
        <v>168</v>
      </c>
      <c r="F4" s="78"/>
      <c r="I4" s="77" t="s">
        <v>167</v>
      </c>
      <c r="J4" s="77" t="s">
        <v>168</v>
      </c>
      <c r="O4" s="77" t="s">
        <v>167</v>
      </c>
      <c r="P4" s="77" t="s">
        <v>168</v>
      </c>
    </row>
    <row r="5" spans="1:17" x14ac:dyDescent="0.2">
      <c r="A5" s="109" t="s">
        <v>4</v>
      </c>
      <c r="B5" s="110" t="s">
        <v>3</v>
      </c>
      <c r="C5" s="110" t="s">
        <v>152</v>
      </c>
      <c r="D5" s="110" t="s">
        <v>43</v>
      </c>
      <c r="E5" s="79" t="s">
        <v>105</v>
      </c>
      <c r="G5" s="111" t="s">
        <v>8</v>
      </c>
      <c r="H5" s="110" t="s">
        <v>92</v>
      </c>
      <c r="I5" s="110" t="s">
        <v>152</v>
      </c>
      <c r="J5" s="110" t="s">
        <v>43</v>
      </c>
      <c r="K5" s="79" t="s">
        <v>105</v>
      </c>
      <c r="M5" s="111" t="s">
        <v>19</v>
      </c>
      <c r="N5" s="110" t="s">
        <v>92</v>
      </c>
      <c r="O5" s="110" t="s">
        <v>152</v>
      </c>
      <c r="P5" s="110" t="s">
        <v>43</v>
      </c>
      <c r="Q5" s="82" t="s">
        <v>105</v>
      </c>
    </row>
    <row r="6" spans="1:17" ht="12.75" customHeight="1" x14ac:dyDescent="0.2">
      <c r="A6" s="87" t="s">
        <v>79</v>
      </c>
      <c r="B6" s="83"/>
      <c r="C6" s="87">
        <f>B6*0.5</f>
        <v>0</v>
      </c>
      <c r="D6" s="87">
        <v>0</v>
      </c>
      <c r="E6" s="84">
        <f>B6*0.9</f>
        <v>0</v>
      </c>
      <c r="G6" s="87" t="s">
        <v>9</v>
      </c>
      <c r="H6" s="83"/>
      <c r="I6" s="87">
        <f>H6*140</f>
        <v>0</v>
      </c>
      <c r="J6" s="87">
        <f>H6*6</f>
        <v>0</v>
      </c>
      <c r="K6" s="80"/>
      <c r="M6" s="87" t="s">
        <v>20</v>
      </c>
      <c r="N6" s="83"/>
      <c r="O6" s="87">
        <f>N6*240</f>
        <v>0</v>
      </c>
      <c r="P6" s="87">
        <f>N6*5</f>
        <v>0</v>
      </c>
      <c r="Q6" s="81">
        <f>N6*85</f>
        <v>0</v>
      </c>
    </row>
    <row r="7" spans="1:17" x14ac:dyDescent="0.2">
      <c r="A7" s="87" t="s">
        <v>80</v>
      </c>
      <c r="B7" s="83"/>
      <c r="C7" s="87">
        <f>B7*0.2</f>
        <v>0</v>
      </c>
      <c r="D7" s="87">
        <v>0</v>
      </c>
      <c r="E7" s="84">
        <f>B7*0.95</f>
        <v>0</v>
      </c>
      <c r="G7" s="87" t="s">
        <v>10</v>
      </c>
      <c r="H7" s="83"/>
      <c r="I7" s="87">
        <f>H7*110</f>
        <v>0</v>
      </c>
      <c r="J7" s="87">
        <f>H7*5</f>
        <v>0</v>
      </c>
      <c r="K7" s="80"/>
      <c r="M7" s="87" t="s">
        <v>21</v>
      </c>
      <c r="N7" s="83"/>
      <c r="O7" s="87">
        <f>N7*150</f>
        <v>0</v>
      </c>
      <c r="P7" s="87">
        <f>N7*5</f>
        <v>0</v>
      </c>
    </row>
    <row r="8" spans="1:17" x14ac:dyDescent="0.2">
      <c r="A8" s="87" t="s">
        <v>127</v>
      </c>
      <c r="B8" s="83"/>
      <c r="C8" s="87">
        <f>B8*0.5</f>
        <v>0</v>
      </c>
      <c r="D8" s="87">
        <f>B8*0.02</f>
        <v>0</v>
      </c>
      <c r="E8" s="84">
        <f>B8*0.95</f>
        <v>0</v>
      </c>
      <c r="F8" s="85"/>
      <c r="G8" s="87" t="s">
        <v>93</v>
      </c>
      <c r="H8" s="83"/>
      <c r="I8" s="87">
        <f>H8*70</f>
        <v>0</v>
      </c>
      <c r="J8" s="87">
        <f>H8*2</f>
        <v>0</v>
      </c>
      <c r="K8" s="80"/>
      <c r="M8" s="208" t="s">
        <v>219</v>
      </c>
      <c r="N8" s="83"/>
      <c r="O8" s="87">
        <f>N8*140</f>
        <v>0</v>
      </c>
      <c r="P8" s="87">
        <f>N8*4</f>
        <v>0</v>
      </c>
    </row>
    <row r="9" spans="1:17" x14ac:dyDescent="0.2">
      <c r="A9" s="94" t="s">
        <v>170</v>
      </c>
      <c r="B9" s="83"/>
      <c r="C9" s="87">
        <f>B9*1</f>
        <v>0</v>
      </c>
      <c r="D9" s="87">
        <v>0</v>
      </c>
      <c r="E9" s="84">
        <f>B9*0.85</f>
        <v>0</v>
      </c>
      <c r="F9" s="85"/>
      <c r="G9" s="87" t="s">
        <v>94</v>
      </c>
      <c r="H9" s="83"/>
      <c r="I9" s="87">
        <f>H9*40</f>
        <v>0</v>
      </c>
      <c r="J9" s="87">
        <f>H9*1</f>
        <v>0</v>
      </c>
      <c r="K9" s="80"/>
      <c r="M9" s="87" t="s">
        <v>22</v>
      </c>
      <c r="N9" s="83"/>
      <c r="O9" s="87">
        <f>N9*100</f>
        <v>0</v>
      </c>
      <c r="P9" s="87">
        <f>N9*2</f>
        <v>0</v>
      </c>
    </row>
    <row r="10" spans="1:17" x14ac:dyDescent="0.2">
      <c r="A10" s="87" t="s">
        <v>204</v>
      </c>
      <c r="B10" s="83"/>
      <c r="C10" s="87">
        <f>B10*0.5</f>
        <v>0</v>
      </c>
      <c r="D10" s="87">
        <v>0</v>
      </c>
      <c r="E10" s="84">
        <f>B10*0.8</f>
        <v>0</v>
      </c>
      <c r="G10" s="87" t="s">
        <v>11</v>
      </c>
      <c r="H10" s="83"/>
      <c r="I10" s="87">
        <f>H10*70</f>
        <v>0</v>
      </c>
      <c r="J10" s="87">
        <v>0</v>
      </c>
      <c r="K10" s="80"/>
      <c r="M10" s="87" t="s">
        <v>175</v>
      </c>
      <c r="N10" s="83"/>
      <c r="O10" s="87">
        <f>N10*130</f>
        <v>0</v>
      </c>
      <c r="P10" s="87">
        <f>N10*2</f>
        <v>0</v>
      </c>
    </row>
    <row r="11" spans="1:17" x14ac:dyDescent="0.2">
      <c r="A11" s="94" t="s">
        <v>205</v>
      </c>
      <c r="B11" s="83"/>
      <c r="C11" s="87">
        <f>B11*0.5</f>
        <v>0</v>
      </c>
      <c r="D11" s="87">
        <f>B10*0.01</f>
        <v>0</v>
      </c>
      <c r="E11" s="84">
        <f>B11*0.95</f>
        <v>0</v>
      </c>
      <c r="F11" s="85"/>
      <c r="G11" s="87" t="s">
        <v>159</v>
      </c>
      <c r="H11" s="83"/>
      <c r="I11" s="87">
        <f>H11*40</f>
        <v>0</v>
      </c>
      <c r="J11" s="87">
        <v>0</v>
      </c>
      <c r="K11" s="80"/>
      <c r="M11" s="87" t="s">
        <v>218</v>
      </c>
      <c r="N11" s="83"/>
      <c r="O11" s="87">
        <f>N11*110</f>
        <v>0</v>
      </c>
      <c r="P11" s="87">
        <f>N11*0.4</f>
        <v>0</v>
      </c>
    </row>
    <row r="12" spans="1:17" x14ac:dyDescent="0.2">
      <c r="A12" s="94" t="s">
        <v>206</v>
      </c>
      <c r="B12" s="83"/>
      <c r="C12" s="87">
        <f>B12*0.4</f>
        <v>0</v>
      </c>
      <c r="D12" s="87">
        <f>B12*0.03</f>
        <v>0</v>
      </c>
      <c r="E12" s="84">
        <f>B12*0.9</f>
        <v>0</v>
      </c>
      <c r="G12" s="87" t="s">
        <v>114</v>
      </c>
      <c r="H12" s="83"/>
      <c r="I12" s="87">
        <f>H12*50</f>
        <v>0</v>
      </c>
      <c r="J12" s="87">
        <f>H12*3</f>
        <v>0</v>
      </c>
      <c r="K12" s="80"/>
      <c r="M12" s="87" t="s">
        <v>176</v>
      </c>
      <c r="N12" s="83"/>
      <c r="O12" s="87">
        <f>N12*60</f>
        <v>0</v>
      </c>
      <c r="P12" s="87">
        <f>N12*1</f>
        <v>0</v>
      </c>
    </row>
    <row r="13" spans="1:17" x14ac:dyDescent="0.2">
      <c r="A13" s="87" t="s">
        <v>145</v>
      </c>
      <c r="B13" s="83"/>
      <c r="C13" s="87">
        <v>0</v>
      </c>
      <c r="D13" s="87">
        <v>0</v>
      </c>
      <c r="E13" s="84">
        <f>B13*1</f>
        <v>0</v>
      </c>
      <c r="G13" s="87" t="s">
        <v>115</v>
      </c>
      <c r="H13" s="83"/>
      <c r="I13" s="87">
        <f>H13*20</f>
        <v>0</v>
      </c>
      <c r="J13" s="87">
        <f>H13*3</f>
        <v>0</v>
      </c>
      <c r="K13" s="80"/>
      <c r="M13" s="87" t="s">
        <v>177</v>
      </c>
      <c r="N13" s="83"/>
      <c r="O13" s="87">
        <f>N13*50</f>
        <v>0</v>
      </c>
      <c r="P13" s="87">
        <v>0</v>
      </c>
    </row>
    <row r="14" spans="1:17" x14ac:dyDescent="0.2">
      <c r="E14" s="84"/>
      <c r="G14" s="87" t="s">
        <v>118</v>
      </c>
      <c r="H14" s="83"/>
      <c r="I14" s="87">
        <f>H14*80</f>
        <v>0</v>
      </c>
      <c r="J14" s="87">
        <f>H14*4</f>
        <v>0</v>
      </c>
      <c r="K14" s="80"/>
      <c r="M14" s="87" t="s">
        <v>217</v>
      </c>
      <c r="N14" s="83"/>
      <c r="O14" s="87">
        <f>N14*140</f>
        <v>0</v>
      </c>
      <c r="P14" s="87">
        <v>0</v>
      </c>
    </row>
    <row r="15" spans="1:17" x14ac:dyDescent="0.2">
      <c r="A15" s="109" t="s">
        <v>86</v>
      </c>
      <c r="B15" s="151" t="s">
        <v>3</v>
      </c>
      <c r="C15" s="152"/>
      <c r="D15" s="153"/>
      <c r="E15" s="84"/>
      <c r="G15" s="87" t="s">
        <v>95</v>
      </c>
      <c r="H15" s="83"/>
      <c r="I15" s="87">
        <f>H15*80</f>
        <v>0</v>
      </c>
      <c r="J15" s="87">
        <f>H15*8</f>
        <v>0</v>
      </c>
      <c r="K15" s="80"/>
      <c r="M15" s="87" t="s">
        <v>178</v>
      </c>
      <c r="N15" s="83"/>
      <c r="O15" s="87">
        <f>N15*210</f>
        <v>0</v>
      </c>
      <c r="P15" s="87">
        <f>N15*6</f>
        <v>0</v>
      </c>
    </row>
    <row r="16" spans="1:17" x14ac:dyDescent="0.2">
      <c r="A16" s="87" t="s">
        <v>83</v>
      </c>
      <c r="B16" s="83"/>
      <c r="C16" s="141">
        <f>B16*0.6</f>
        <v>0</v>
      </c>
      <c r="D16" s="141">
        <f>B16*0.03</f>
        <v>0</v>
      </c>
      <c r="E16" s="84">
        <f>B16*0.9</f>
        <v>0</v>
      </c>
      <c r="F16" s="85"/>
      <c r="G16" s="94" t="s">
        <v>162</v>
      </c>
      <c r="H16" s="83"/>
      <c r="I16" s="87">
        <f>H16*20</f>
        <v>0</v>
      </c>
      <c r="J16" s="87">
        <f>H16*1</f>
        <v>0</v>
      </c>
      <c r="K16" s="80"/>
      <c r="M16" s="87" t="s">
        <v>179</v>
      </c>
      <c r="N16" s="83"/>
      <c r="O16" s="87">
        <f>N16*30</f>
        <v>0</v>
      </c>
      <c r="P16" s="87">
        <v>0</v>
      </c>
    </row>
    <row r="17" spans="1:17" x14ac:dyDescent="0.2">
      <c r="A17" s="87" t="s">
        <v>82</v>
      </c>
      <c r="B17" s="83"/>
      <c r="C17" s="87">
        <f>B17*0.5</f>
        <v>0</v>
      </c>
      <c r="D17" s="87">
        <f>B17*0.03</f>
        <v>0</v>
      </c>
      <c r="E17" s="84">
        <f>B17*0.9</f>
        <v>0</v>
      </c>
      <c r="G17" s="106" t="s">
        <v>174</v>
      </c>
      <c r="H17" s="83"/>
      <c r="I17" s="87">
        <f>H17*4</f>
        <v>0</v>
      </c>
      <c r="J17" s="87">
        <v>0</v>
      </c>
      <c r="K17" s="80"/>
      <c r="M17" s="87" t="s">
        <v>130</v>
      </c>
      <c r="N17" s="83"/>
      <c r="O17" s="87">
        <f>N17*100</f>
        <v>0</v>
      </c>
      <c r="P17" s="87">
        <f>N17*1</f>
        <v>0</v>
      </c>
    </row>
    <row r="18" spans="1:17" x14ac:dyDescent="0.2">
      <c r="A18" s="87" t="s">
        <v>81</v>
      </c>
      <c r="B18" s="83"/>
      <c r="C18" s="87">
        <f>B18*0.4</f>
        <v>0</v>
      </c>
      <c r="D18" s="87">
        <f>B18*0.03</f>
        <v>0</v>
      </c>
      <c r="E18" s="84">
        <f>B18*0.9</f>
        <v>0</v>
      </c>
      <c r="G18" s="106" t="s">
        <v>209</v>
      </c>
      <c r="H18" s="83"/>
      <c r="I18" s="87">
        <f>H18*60</f>
        <v>0</v>
      </c>
      <c r="J18" s="87">
        <f>H18*3</f>
        <v>0</v>
      </c>
      <c r="K18" s="80"/>
      <c r="M18" s="87" t="s">
        <v>131</v>
      </c>
      <c r="N18" s="83"/>
      <c r="O18" s="87">
        <f>N18*50</f>
        <v>0</v>
      </c>
      <c r="P18" s="87">
        <f>N18*1</f>
        <v>0</v>
      </c>
    </row>
    <row r="19" spans="1:17" x14ac:dyDescent="0.2">
      <c r="A19" s="87" t="s">
        <v>85</v>
      </c>
      <c r="B19" s="83"/>
      <c r="C19" s="87">
        <f>B19*0.8</f>
        <v>0</v>
      </c>
      <c r="D19" s="87">
        <f>B19*0.04</f>
        <v>0</v>
      </c>
      <c r="E19" s="80">
        <f>B19*0.8</f>
        <v>0</v>
      </c>
      <c r="K19" s="80"/>
      <c r="M19" s="87" t="s">
        <v>132</v>
      </c>
      <c r="N19" s="83"/>
      <c r="O19" s="87">
        <f>N19*60</f>
        <v>0</v>
      </c>
      <c r="P19" s="87">
        <f>N19*1</f>
        <v>0</v>
      </c>
    </row>
    <row r="20" spans="1:17" x14ac:dyDescent="0.2">
      <c r="A20" s="87" t="s">
        <v>207</v>
      </c>
      <c r="B20" s="83"/>
      <c r="C20" s="87">
        <f>B20*1.2</f>
        <v>0</v>
      </c>
      <c r="D20" s="87">
        <f>B20*0.04</f>
        <v>0</v>
      </c>
      <c r="E20" s="81">
        <f>B20*0.7</f>
        <v>0</v>
      </c>
      <c r="F20" s="86"/>
      <c r="G20" s="111" t="s">
        <v>18</v>
      </c>
      <c r="H20" s="151" t="s">
        <v>92</v>
      </c>
      <c r="I20" s="152"/>
      <c r="J20" s="153"/>
      <c r="K20" s="80"/>
      <c r="M20" s="87" t="s">
        <v>180</v>
      </c>
      <c r="N20" s="83"/>
      <c r="O20" s="87">
        <f>N20*10</f>
        <v>0</v>
      </c>
      <c r="P20" s="87">
        <v>0</v>
      </c>
    </row>
    <row r="21" spans="1:17" x14ac:dyDescent="0.2">
      <c r="A21" s="87" t="s">
        <v>208</v>
      </c>
      <c r="B21" s="83"/>
      <c r="C21" s="87">
        <f>B21*1</f>
        <v>0</v>
      </c>
      <c r="D21" s="87">
        <f>B21*0.03</f>
        <v>0</v>
      </c>
      <c r="E21" s="81">
        <f>B21*0.75</f>
        <v>0</v>
      </c>
      <c r="F21" s="86"/>
      <c r="G21" s="87" t="s">
        <v>139</v>
      </c>
      <c r="H21" s="83"/>
      <c r="I21" s="141">
        <f>H21*30</f>
        <v>0</v>
      </c>
      <c r="J21" s="141">
        <v>0</v>
      </c>
      <c r="K21" s="80"/>
    </row>
    <row r="22" spans="1:17" x14ac:dyDescent="0.2">
      <c r="A22" s="94" t="s">
        <v>172</v>
      </c>
      <c r="B22" s="83"/>
      <c r="C22" s="87">
        <f>B22*0.8</f>
        <v>0</v>
      </c>
      <c r="D22" s="87">
        <f>B22*0.01</f>
        <v>0</v>
      </c>
      <c r="E22" s="80">
        <f>B22*0.8</f>
        <v>0</v>
      </c>
      <c r="F22" s="86"/>
      <c r="G22" s="87" t="s">
        <v>138</v>
      </c>
      <c r="H22" s="83"/>
      <c r="I22" s="87">
        <f>H22*5</f>
        <v>0</v>
      </c>
      <c r="J22" s="87">
        <v>0</v>
      </c>
      <c r="M22" s="111" t="s">
        <v>12</v>
      </c>
      <c r="N22" s="151" t="s">
        <v>92</v>
      </c>
      <c r="O22" s="152"/>
      <c r="P22" s="153"/>
      <c r="Q22" s="81" t="e">
        <f>N22*200</f>
        <v>#VALUE!</v>
      </c>
    </row>
    <row r="23" spans="1:17" x14ac:dyDescent="0.2">
      <c r="A23" s="94" t="s">
        <v>173</v>
      </c>
      <c r="B23" s="83"/>
      <c r="C23" s="87">
        <f>B23*1.5</f>
        <v>0</v>
      </c>
      <c r="D23" s="87">
        <f>B23*0.075</f>
        <v>0</v>
      </c>
      <c r="E23" s="80">
        <f>B23*0.6</f>
        <v>0</v>
      </c>
      <c r="F23" s="86"/>
      <c r="G23" s="87" t="s">
        <v>133</v>
      </c>
      <c r="H23" s="83"/>
      <c r="I23" s="87">
        <f>H23*10</f>
        <v>0</v>
      </c>
      <c r="J23" s="87">
        <v>0</v>
      </c>
      <c r="K23" s="79"/>
      <c r="M23" s="87" t="s">
        <v>214</v>
      </c>
      <c r="N23" s="83"/>
      <c r="O23" s="141">
        <f>N23*190</f>
        <v>0</v>
      </c>
      <c r="P23" s="141">
        <f>N23*2</f>
        <v>0</v>
      </c>
    </row>
    <row r="24" spans="1:17" x14ac:dyDescent="0.2">
      <c r="E24" s="80"/>
      <c r="F24" s="86"/>
      <c r="G24" s="87" t="s">
        <v>134</v>
      </c>
      <c r="H24" s="83"/>
      <c r="I24" s="87">
        <f>H24*50</f>
        <v>0</v>
      </c>
      <c r="J24" s="87">
        <v>0</v>
      </c>
      <c r="K24" s="80"/>
      <c r="M24" s="87" t="s">
        <v>216</v>
      </c>
      <c r="N24" s="83"/>
      <c r="O24" s="87">
        <f>N24*285</f>
        <v>0</v>
      </c>
      <c r="P24" s="87">
        <f>N24*3</f>
        <v>0</v>
      </c>
    </row>
    <row r="25" spans="1:17" x14ac:dyDescent="0.2">
      <c r="A25" s="109" t="s">
        <v>195</v>
      </c>
      <c r="B25" s="151" t="s">
        <v>84</v>
      </c>
      <c r="C25" s="152"/>
      <c r="D25" s="153"/>
      <c r="F25" s="86"/>
      <c r="G25" s="87" t="s">
        <v>135</v>
      </c>
      <c r="H25" s="83"/>
      <c r="I25" s="87">
        <f>H25*20</f>
        <v>0</v>
      </c>
      <c r="J25" s="87">
        <v>0</v>
      </c>
      <c r="K25" s="80"/>
      <c r="M25" s="87" t="s">
        <v>181</v>
      </c>
      <c r="N25" s="83"/>
      <c r="O25" s="87">
        <f>N25*130</f>
        <v>0</v>
      </c>
      <c r="P25" s="87">
        <f>N25*2</f>
        <v>0</v>
      </c>
    </row>
    <row r="26" spans="1:17" x14ac:dyDescent="0.2">
      <c r="A26" s="87" t="s">
        <v>5</v>
      </c>
      <c r="B26" s="83"/>
      <c r="C26" s="141">
        <f>B26*70</f>
        <v>0</v>
      </c>
      <c r="D26" s="141">
        <f>B26*2</f>
        <v>0</v>
      </c>
      <c r="G26" s="87" t="s">
        <v>136</v>
      </c>
      <c r="H26" s="83"/>
      <c r="I26" s="87">
        <f>H26*20</f>
        <v>0</v>
      </c>
      <c r="J26" s="87">
        <v>0</v>
      </c>
      <c r="K26" s="80"/>
      <c r="M26" s="87" t="s">
        <v>97</v>
      </c>
      <c r="N26" s="83"/>
      <c r="O26" s="87">
        <f>N26*60</f>
        <v>0</v>
      </c>
      <c r="P26" s="87">
        <f>N26*1</f>
        <v>0</v>
      </c>
    </row>
    <row r="27" spans="1:17" x14ac:dyDescent="0.2">
      <c r="A27" s="87" t="s">
        <v>6</v>
      </c>
      <c r="B27" s="83"/>
      <c r="C27" s="87">
        <f>B27*90</f>
        <v>0</v>
      </c>
      <c r="D27" s="87">
        <f>B27*4</f>
        <v>0</v>
      </c>
      <c r="G27" s="87" t="s">
        <v>137</v>
      </c>
      <c r="H27" s="83"/>
      <c r="I27" s="87">
        <f>H27*30</f>
        <v>0</v>
      </c>
      <c r="J27" s="87">
        <v>0</v>
      </c>
      <c r="K27" s="80"/>
      <c r="M27" s="87" t="s">
        <v>215</v>
      </c>
      <c r="N27" s="83"/>
      <c r="O27" s="87">
        <f>N27*160</f>
        <v>0</v>
      </c>
      <c r="P27" s="87">
        <f>N27*2</f>
        <v>0</v>
      </c>
    </row>
    <row r="28" spans="1:17" x14ac:dyDescent="0.2">
      <c r="A28" s="87" t="s">
        <v>117</v>
      </c>
      <c r="B28" s="83"/>
      <c r="C28" s="87">
        <f>B28*50</f>
        <v>0</v>
      </c>
      <c r="D28" s="87">
        <f>B28*1</f>
        <v>0</v>
      </c>
      <c r="G28" s="2" t="s">
        <v>87</v>
      </c>
      <c r="H28" s="83"/>
      <c r="I28" s="2">
        <f>H28*3.75</f>
        <v>0</v>
      </c>
      <c r="J28" s="2">
        <v>0</v>
      </c>
      <c r="K28" s="81">
        <f>H28*0.55</f>
        <v>0</v>
      </c>
      <c r="M28" s="87" t="s">
        <v>96</v>
      </c>
      <c r="N28" s="83"/>
      <c r="O28" s="87">
        <f>N28*130</f>
        <v>0</v>
      </c>
      <c r="P28" s="87">
        <f>N28*1</f>
        <v>0</v>
      </c>
    </row>
    <row r="29" spans="1:17" x14ac:dyDescent="0.2">
      <c r="A29" s="87" t="s">
        <v>7</v>
      </c>
      <c r="B29" s="83"/>
      <c r="C29" s="87">
        <f>B29*140</f>
        <v>0</v>
      </c>
      <c r="D29" s="87">
        <f>B29*4</f>
        <v>0</v>
      </c>
      <c r="G29" s="2" t="s">
        <v>88</v>
      </c>
      <c r="H29" s="83"/>
      <c r="I29" s="2">
        <f>H29*1.87</f>
        <v>0</v>
      </c>
      <c r="J29" s="2">
        <v>0</v>
      </c>
      <c r="K29" s="81">
        <f>H29*0.27</f>
        <v>0</v>
      </c>
      <c r="M29" s="87" t="s">
        <v>116</v>
      </c>
      <c r="N29" s="83"/>
      <c r="O29" s="87">
        <f>N29*320</f>
        <v>0</v>
      </c>
      <c r="P29" s="87">
        <f>N29*4</f>
        <v>0</v>
      </c>
    </row>
    <row r="30" spans="1:17" x14ac:dyDescent="0.2">
      <c r="G30" s="2" t="s">
        <v>89</v>
      </c>
      <c r="H30" s="83"/>
      <c r="I30" s="2">
        <f>H30*3.2</f>
        <v>0</v>
      </c>
      <c r="J30" s="2">
        <f>H30*0.02</f>
        <v>0</v>
      </c>
      <c r="K30" s="81">
        <f>H30*0.6</f>
        <v>0</v>
      </c>
      <c r="M30" s="87" t="s">
        <v>13</v>
      </c>
      <c r="N30" s="83"/>
      <c r="O30" s="141">
        <f>N30*60</f>
        <v>0</v>
      </c>
      <c r="P30" s="141">
        <f>N30*1</f>
        <v>0</v>
      </c>
    </row>
    <row r="31" spans="1:17" x14ac:dyDescent="0.2">
      <c r="A31" s="111" t="s">
        <v>23</v>
      </c>
      <c r="B31" s="151" t="s">
        <v>92</v>
      </c>
      <c r="C31" s="152"/>
      <c r="D31" s="153"/>
      <c r="E31" s="80"/>
      <c r="G31" s="2" t="s">
        <v>90</v>
      </c>
      <c r="H31" s="83"/>
      <c r="I31" s="2">
        <f>H31*1.37</f>
        <v>0</v>
      </c>
      <c r="J31" s="2">
        <f>H31*0.031</f>
        <v>0</v>
      </c>
      <c r="K31" s="81">
        <f>H31*0.8</f>
        <v>0</v>
      </c>
      <c r="M31" s="87" t="s">
        <v>14</v>
      </c>
      <c r="N31" s="83"/>
      <c r="O31" s="87">
        <f>N31*160</f>
        <v>0</v>
      </c>
      <c r="P31" s="87">
        <f>N31*4</f>
        <v>0</v>
      </c>
    </row>
    <row r="32" spans="1:17" x14ac:dyDescent="0.2">
      <c r="A32" s="94" t="s">
        <v>196</v>
      </c>
      <c r="B32" s="83"/>
      <c r="C32" s="141">
        <f>B32*615</f>
        <v>0</v>
      </c>
      <c r="D32" s="141">
        <f>B32*23</f>
        <v>0</v>
      </c>
      <c r="E32" s="80"/>
      <c r="G32" s="2" t="s">
        <v>91</v>
      </c>
      <c r="H32" s="83"/>
      <c r="I32" s="2">
        <f>H32*0.5</f>
        <v>0</v>
      </c>
      <c r="J32" s="2">
        <f>H32*0.03</f>
        <v>0</v>
      </c>
      <c r="K32" s="81">
        <f>H32*0.9</f>
        <v>0</v>
      </c>
      <c r="M32" s="87" t="s">
        <v>15</v>
      </c>
      <c r="N32" s="83"/>
      <c r="O32" s="87">
        <f>N32*70</f>
        <v>0</v>
      </c>
      <c r="P32" s="87">
        <f>N32*1</f>
        <v>0</v>
      </c>
    </row>
    <row r="33" spans="1:16" x14ac:dyDescent="0.2">
      <c r="A33" s="95" t="s">
        <v>128</v>
      </c>
      <c r="B33" s="83"/>
      <c r="C33" s="87">
        <f>B33*540</f>
        <v>0</v>
      </c>
      <c r="D33" s="87">
        <f>B33*22</f>
        <v>0</v>
      </c>
      <c r="E33" s="80"/>
      <c r="G33" s="8" t="s">
        <v>171</v>
      </c>
      <c r="H33" s="83"/>
      <c r="I33" s="2">
        <f>H33*1.34</f>
        <v>0</v>
      </c>
      <c r="J33" s="8">
        <f>H33*0.14</f>
        <v>0</v>
      </c>
      <c r="K33" s="81">
        <f>H33*0.6</f>
        <v>0</v>
      </c>
      <c r="M33" s="87" t="s">
        <v>164</v>
      </c>
      <c r="N33" s="83"/>
      <c r="O33" s="87">
        <f>N33*20</f>
        <v>0</v>
      </c>
      <c r="P33" s="87">
        <f>N33*0</f>
        <v>0</v>
      </c>
    </row>
    <row r="34" spans="1:16" x14ac:dyDescent="0.2">
      <c r="A34" s="87" t="s">
        <v>129</v>
      </c>
      <c r="B34" s="83"/>
      <c r="C34" s="87">
        <f>B34*420</f>
        <v>0</v>
      </c>
      <c r="D34" s="87">
        <f>B34*17</f>
        <v>0</v>
      </c>
      <c r="E34" s="80"/>
      <c r="M34" s="87" t="s">
        <v>98</v>
      </c>
      <c r="N34" s="83"/>
      <c r="O34" s="87">
        <f>N34*20</f>
        <v>0</v>
      </c>
      <c r="P34" s="87">
        <f>N34*0</f>
        <v>0</v>
      </c>
    </row>
    <row r="35" spans="1:16" x14ac:dyDescent="0.2">
      <c r="A35" s="87" t="s">
        <v>210</v>
      </c>
      <c r="B35" s="83"/>
      <c r="C35" s="87">
        <f>B35*60</f>
        <v>0</v>
      </c>
      <c r="D35" s="87">
        <f>B35*3</f>
        <v>0</v>
      </c>
      <c r="E35" s="80"/>
      <c r="G35" s="111" t="s">
        <v>223</v>
      </c>
      <c r="H35" s="151" t="s">
        <v>92</v>
      </c>
      <c r="I35" s="152"/>
      <c r="J35" s="153"/>
      <c r="M35" s="87" t="s">
        <v>16</v>
      </c>
      <c r="N35" s="83"/>
      <c r="O35" s="87">
        <f>N35*50</f>
        <v>0</v>
      </c>
      <c r="P35" s="87">
        <f>N35*2</f>
        <v>0</v>
      </c>
    </row>
    <row r="36" spans="1:16" x14ac:dyDescent="0.2">
      <c r="A36" s="190" t="s">
        <v>183</v>
      </c>
      <c r="B36" s="83"/>
      <c r="C36" s="87">
        <f>B36*50</f>
        <v>0</v>
      </c>
      <c r="D36" s="87">
        <f>B36*1</f>
        <v>0</v>
      </c>
      <c r="E36" s="80">
        <f>B36*160</f>
        <v>0</v>
      </c>
      <c r="G36" s="94" t="s">
        <v>247</v>
      </c>
      <c r="H36" s="83"/>
      <c r="I36" s="141">
        <f>H36*160</f>
        <v>0</v>
      </c>
      <c r="J36" s="141">
        <f>H36*6</f>
        <v>0</v>
      </c>
    </row>
    <row r="37" spans="1:16" x14ac:dyDescent="0.2">
      <c r="A37" s="94" t="s">
        <v>212</v>
      </c>
      <c r="B37" s="83"/>
      <c r="C37" s="87">
        <f>B37*70</f>
        <v>0</v>
      </c>
      <c r="D37" s="87">
        <f>B37*2</f>
        <v>0</v>
      </c>
      <c r="E37" s="81">
        <f>B37*85</f>
        <v>0</v>
      </c>
      <c r="G37" s="94" t="s">
        <v>220</v>
      </c>
      <c r="H37" s="83"/>
      <c r="I37" s="87">
        <f>H37*215</f>
        <v>0</v>
      </c>
      <c r="J37" s="87">
        <f>H37*8</f>
        <v>0</v>
      </c>
      <c r="M37" s="111" t="s">
        <v>17</v>
      </c>
      <c r="N37" s="151" t="s">
        <v>92</v>
      </c>
      <c r="O37" s="152"/>
      <c r="P37" s="153"/>
    </row>
    <row r="38" spans="1:16" x14ac:dyDescent="0.2">
      <c r="A38" s="94" t="s">
        <v>211</v>
      </c>
      <c r="B38" s="83"/>
      <c r="C38" s="87">
        <f>B38*175</f>
        <v>0</v>
      </c>
      <c r="D38" s="87">
        <f>B38*5</f>
        <v>0</v>
      </c>
      <c r="E38" s="81">
        <f>B38*210</f>
        <v>0</v>
      </c>
      <c r="G38" s="94" t="s">
        <v>221</v>
      </c>
      <c r="H38" s="83"/>
      <c r="I38" s="87">
        <f>H38*310</f>
        <v>0</v>
      </c>
      <c r="J38" s="87">
        <f>H38*3</f>
        <v>0</v>
      </c>
      <c r="M38" s="87" t="s">
        <v>120</v>
      </c>
      <c r="N38" s="83"/>
      <c r="O38" s="141">
        <f>N38*40</f>
        <v>0</v>
      </c>
      <c r="P38" s="141">
        <f>N38*1</f>
        <v>0</v>
      </c>
    </row>
    <row r="39" spans="1:16" x14ac:dyDescent="0.2">
      <c r="A39" s="94" t="s">
        <v>213</v>
      </c>
      <c r="B39" s="83"/>
      <c r="C39" s="87">
        <f>B39*660</f>
        <v>0</v>
      </c>
      <c r="D39" s="87">
        <f>B39*16</f>
        <v>0</v>
      </c>
      <c r="E39" s="81">
        <f>B39*200</f>
        <v>0</v>
      </c>
      <c r="G39" s="94" t="s">
        <v>248</v>
      </c>
      <c r="H39" s="83"/>
      <c r="I39" s="87">
        <f>H39*180</f>
        <v>0</v>
      </c>
      <c r="J39" s="87">
        <f>H39*6</f>
        <v>0</v>
      </c>
      <c r="M39" s="87" t="s">
        <v>165</v>
      </c>
      <c r="N39" s="83"/>
      <c r="O39" s="87">
        <f>N39*550</f>
        <v>0</v>
      </c>
      <c r="P39" s="87">
        <f>N39*8</f>
        <v>0</v>
      </c>
    </row>
    <row r="40" spans="1:16" ht="13.5" thickBot="1" x14ac:dyDescent="0.25">
      <c r="G40" s="94" t="s">
        <v>249</v>
      </c>
      <c r="H40" s="83"/>
      <c r="I40" s="87">
        <f>H40*170</f>
        <v>0</v>
      </c>
      <c r="J40" s="87">
        <f>H40*5</f>
        <v>0</v>
      </c>
      <c r="M40" s="87" t="s">
        <v>163</v>
      </c>
      <c r="N40" s="83"/>
      <c r="O40" s="87">
        <f>N40*130</f>
        <v>0</v>
      </c>
      <c r="P40" s="87">
        <f>N40*1</f>
        <v>0</v>
      </c>
    </row>
    <row r="41" spans="1:16" x14ac:dyDescent="0.2">
      <c r="A41" s="88" t="s">
        <v>146</v>
      </c>
      <c r="B41" s="194">
        <f>CEILING(SUM(C6:C39,I6:I41,O6:O50),1)</f>
        <v>0</v>
      </c>
      <c r="C41" s="91" t="s">
        <v>40</v>
      </c>
      <c r="G41" s="94" t="s">
        <v>222</v>
      </c>
      <c r="H41" s="83"/>
      <c r="I41" s="87">
        <f>H41*280</f>
        <v>0</v>
      </c>
      <c r="J41" s="87">
        <f>H41*13</f>
        <v>0</v>
      </c>
      <c r="M41" s="94" t="s">
        <v>125</v>
      </c>
      <c r="N41" s="83"/>
      <c r="O41" s="87">
        <f>N41*20</f>
        <v>0</v>
      </c>
      <c r="P41" s="87">
        <v>0</v>
      </c>
    </row>
    <row r="42" spans="1:16" x14ac:dyDescent="0.2">
      <c r="A42" s="89" t="s">
        <v>147</v>
      </c>
      <c r="B42" s="195">
        <f>CEILING(SUM(D6:D39,J6:J41,P6:P50),1)</f>
        <v>0</v>
      </c>
      <c r="C42" s="92" t="s">
        <v>65</v>
      </c>
      <c r="D42" s="80"/>
      <c r="M42" s="94" t="s">
        <v>124</v>
      </c>
      <c r="N42" s="83"/>
      <c r="O42" s="87">
        <f>N42*4</f>
        <v>0</v>
      </c>
      <c r="P42" s="87">
        <v>0</v>
      </c>
    </row>
    <row r="43" spans="1:16" ht="13.5" thickBot="1" x14ac:dyDescent="0.25">
      <c r="A43" s="90" t="s">
        <v>148</v>
      </c>
      <c r="B43" s="196">
        <f>CEILING(SUM(E6:E39,K28:K33),1)</f>
        <v>0</v>
      </c>
      <c r="C43" s="93" t="s">
        <v>3</v>
      </c>
      <c r="M43" s="94" t="s">
        <v>126</v>
      </c>
      <c r="N43" s="83"/>
      <c r="O43" s="87">
        <f>N43*5</f>
        <v>0</v>
      </c>
      <c r="P43" s="87">
        <v>0</v>
      </c>
    </row>
    <row r="44" spans="1:16" x14ac:dyDescent="0.2">
      <c r="M44" s="189" t="s">
        <v>182</v>
      </c>
      <c r="N44" s="83"/>
      <c r="O44" s="87">
        <f>N44*40</f>
        <v>0</v>
      </c>
      <c r="P44" s="87">
        <f>N44*1</f>
        <v>0</v>
      </c>
    </row>
    <row r="45" spans="1:16" x14ac:dyDescent="0.2">
      <c r="M45" s="87" t="s">
        <v>123</v>
      </c>
      <c r="N45" s="83"/>
      <c r="O45" s="87">
        <f>N45*60</f>
        <v>0</v>
      </c>
      <c r="P45" s="87">
        <f>N45*1</f>
        <v>0</v>
      </c>
    </row>
    <row r="46" spans="1:16" x14ac:dyDescent="0.2">
      <c r="M46" s="87" t="s">
        <v>122</v>
      </c>
      <c r="N46" s="83"/>
      <c r="O46" s="87">
        <f>N46*30</f>
        <v>0</v>
      </c>
      <c r="P46" s="87">
        <f>N46*1</f>
        <v>0</v>
      </c>
    </row>
    <row r="47" spans="1:16" x14ac:dyDescent="0.2">
      <c r="M47" s="87" t="s">
        <v>121</v>
      </c>
      <c r="N47" s="83"/>
      <c r="O47" s="87">
        <f>N47*8</f>
        <v>0</v>
      </c>
      <c r="P47" s="87">
        <f>N47*0</f>
        <v>0</v>
      </c>
    </row>
    <row r="48" spans="1:16" x14ac:dyDescent="0.2">
      <c r="M48" s="87" t="s">
        <v>160</v>
      </c>
      <c r="N48" s="83"/>
      <c r="O48" s="87">
        <f>N48*400</f>
        <v>0</v>
      </c>
      <c r="P48" s="87">
        <f>N48*10</f>
        <v>0</v>
      </c>
    </row>
    <row r="49" spans="13:16" x14ac:dyDescent="0.2">
      <c r="M49" s="87" t="s">
        <v>161</v>
      </c>
      <c r="N49" s="83"/>
      <c r="O49" s="87">
        <f>N49*200</f>
        <v>0</v>
      </c>
      <c r="P49" s="87">
        <f>N49*2</f>
        <v>0</v>
      </c>
    </row>
  </sheetData>
  <sheetProtection algorithmName="SHA-512" hashValue="YzozKQX91eic2woPAXjyboGDsA9P6yF5MXMGU00mTjQx2mtJgVhmmPubn+m0IbkxtuafD/dZWHpIUFTgZJFFtQ==" saltValue="bkdQ5HC5QSYMmbR6435mdA==" spinCount="100000" sheet="1" selectLockedCells="1"/>
  <phoneticPr fontId="3" type="noConversion"/>
  <pageMargins left="0.75" right="0.75" top="1" bottom="1" header="0.5" footer="0.5"/>
  <pageSetup paperSize="9" scale="45" orientation="landscape" r:id="rId1"/>
  <headerFooter alignWithMargins="0">
    <oddFooter>&amp;LOriginalidé: Hans Larsson, ssk på hematologen 4, SUS Lund</oddFooter>
  </headerFooter>
  <ignoredErrors>
    <ignoredError sqref="I9:I10 C7 C9 C23:D23 P23:P39" formula="1"/>
    <ignoredError sqref="E6:E10 E14:E19 E13 E22:E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AAC5-0B2C-42C6-9AA2-19BDD7041283}">
  <sheetPr>
    <tabColor rgb="FF92D050"/>
  </sheetPr>
  <dimension ref="A1:S43"/>
  <sheetViews>
    <sheetView zoomScaleNormal="100" workbookViewId="0">
      <selection activeCell="B16" sqref="B16"/>
    </sheetView>
  </sheetViews>
  <sheetFormatPr defaultColWidth="9.140625" defaultRowHeight="12.75" x14ac:dyDescent="0.2"/>
  <cols>
    <col min="1" max="1" width="29.42578125" style="100" customWidth="1"/>
    <col min="2" max="2" width="6" style="100" customWidth="1"/>
    <col min="3" max="3" width="6.7109375" style="100" customWidth="1"/>
    <col min="4" max="4" width="7.42578125" style="100" customWidth="1"/>
    <col min="5" max="5" width="0.140625" style="100" customWidth="1"/>
    <col min="6" max="6" width="5.28515625" style="100" customWidth="1"/>
    <col min="7" max="7" width="22.5703125" style="100" customWidth="1"/>
    <col min="8" max="8" width="6" style="100" customWidth="1"/>
    <col min="9" max="9" width="6.7109375" style="100" customWidth="1"/>
    <col min="10" max="10" width="7.28515625" style="100" customWidth="1"/>
    <col min="11" max="11" width="0.140625" style="100" customWidth="1"/>
    <col min="12" max="12" width="5.140625" style="100" customWidth="1"/>
    <col min="13" max="13" width="24.140625" style="100" customWidth="1"/>
    <col min="14" max="14" width="6" style="100" customWidth="1"/>
    <col min="15" max="15" width="6.7109375" style="100" customWidth="1"/>
    <col min="16" max="16" width="7.42578125" style="100" customWidth="1"/>
    <col min="17" max="17" width="9.5703125" style="100" hidden="1" customWidth="1"/>
    <col min="18" max="16384" width="9.140625" style="100"/>
  </cols>
  <sheetData>
    <row r="1" spans="1:17" ht="15.75" x14ac:dyDescent="0.25">
      <c r="A1" s="115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7" ht="15.75" x14ac:dyDescent="0.25">
      <c r="A2" s="116" t="s">
        <v>119</v>
      </c>
      <c r="B2" s="117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2"/>
      <c r="N2" s="112"/>
      <c r="O2" s="112"/>
    </row>
    <row r="5" spans="1:17" x14ac:dyDescent="0.2">
      <c r="A5" s="136" t="s">
        <v>227</v>
      </c>
      <c r="B5" s="138"/>
      <c r="C5" s="139" t="s">
        <v>152</v>
      </c>
      <c r="D5" s="140" t="s">
        <v>43</v>
      </c>
      <c r="E5" s="105" t="s">
        <v>105</v>
      </c>
      <c r="G5" s="136" t="s">
        <v>226</v>
      </c>
      <c r="H5" s="137"/>
      <c r="I5" s="140" t="s">
        <v>152</v>
      </c>
      <c r="J5" s="140" t="s">
        <v>43</v>
      </c>
      <c r="K5" s="113" t="s">
        <v>105</v>
      </c>
      <c r="L5" s="114"/>
      <c r="M5" s="136" t="s">
        <v>232</v>
      </c>
      <c r="N5" s="137"/>
      <c r="O5" s="139" t="s">
        <v>152</v>
      </c>
      <c r="P5" s="140" t="s">
        <v>43</v>
      </c>
      <c r="Q5" s="105" t="s">
        <v>105</v>
      </c>
    </row>
    <row r="6" spans="1:17" x14ac:dyDescent="0.2">
      <c r="A6" s="94" t="s">
        <v>224</v>
      </c>
      <c r="B6" s="197"/>
      <c r="C6" s="87">
        <f>B6*540</f>
        <v>0</v>
      </c>
      <c r="D6" s="87">
        <f>B6*26</f>
        <v>0</v>
      </c>
      <c r="E6" s="101"/>
      <c r="G6" s="94" t="s">
        <v>231</v>
      </c>
      <c r="H6" s="197"/>
      <c r="I6" s="87">
        <f>H6*370</f>
        <v>0</v>
      </c>
      <c r="J6" s="87">
        <f>H6*15</f>
        <v>0</v>
      </c>
      <c r="K6" s="101">
        <f>H6*250</f>
        <v>0</v>
      </c>
      <c r="M6" s="94" t="s">
        <v>242</v>
      </c>
      <c r="N6" s="197"/>
      <c r="O6" s="87">
        <f>N6*465</f>
        <v>0</v>
      </c>
      <c r="P6" s="87">
        <f>N6*24</f>
        <v>0</v>
      </c>
      <c r="Q6" s="101"/>
    </row>
    <row r="7" spans="1:17" x14ac:dyDescent="0.2">
      <c r="A7" s="94" t="s">
        <v>228</v>
      </c>
      <c r="B7" s="197"/>
      <c r="C7" s="87">
        <f>B7*530</f>
        <v>0</v>
      </c>
      <c r="D7" s="87">
        <f>B7*23</f>
        <v>0</v>
      </c>
      <c r="E7" s="101"/>
      <c r="G7" s="94" t="s">
        <v>234</v>
      </c>
      <c r="H7" s="197"/>
      <c r="I7" s="87">
        <f>H7*180</f>
        <v>0</v>
      </c>
      <c r="J7" s="87">
        <f>H7*6</f>
        <v>0</v>
      </c>
      <c r="K7" s="101">
        <f>H7*200</f>
        <v>0</v>
      </c>
      <c r="M7" s="87" t="s">
        <v>254</v>
      </c>
      <c r="N7" s="197"/>
      <c r="O7" s="87">
        <f>N7*190</f>
        <v>0</v>
      </c>
      <c r="P7" s="87">
        <f>N7*3</f>
        <v>0</v>
      </c>
      <c r="Q7" s="101"/>
    </row>
    <row r="8" spans="1:17" x14ac:dyDescent="0.2">
      <c r="A8" s="94" t="s">
        <v>225</v>
      </c>
      <c r="B8" s="197"/>
      <c r="C8" s="87">
        <f>B8*260</f>
        <v>0</v>
      </c>
      <c r="D8" s="87">
        <f>B8*14</f>
        <v>0</v>
      </c>
      <c r="E8" s="101">
        <f>B8*230</f>
        <v>0</v>
      </c>
      <c r="G8" s="211"/>
      <c r="H8" s="197"/>
      <c r="I8" s="212"/>
      <c r="J8" s="212"/>
      <c r="K8" s="101"/>
      <c r="M8" s="94" t="s">
        <v>241</v>
      </c>
      <c r="N8" s="197"/>
      <c r="O8" s="87">
        <f>N8*515</f>
        <v>0</v>
      </c>
      <c r="P8" s="87">
        <f>N8*12</f>
        <v>0</v>
      </c>
      <c r="Q8" s="101"/>
    </row>
    <row r="9" spans="1:17" x14ac:dyDescent="0.2">
      <c r="A9" s="212"/>
      <c r="B9" s="197"/>
      <c r="C9" s="212"/>
      <c r="D9" s="212"/>
      <c r="E9" s="101"/>
      <c r="G9" s="94" t="s">
        <v>230</v>
      </c>
      <c r="H9" s="197"/>
      <c r="I9" s="87">
        <f>H9*600</f>
        <v>0</v>
      </c>
      <c r="J9" s="87">
        <f>H9*21</f>
        <v>0</v>
      </c>
      <c r="K9" s="101"/>
      <c r="M9" s="94" t="s">
        <v>253</v>
      </c>
      <c r="N9" s="197"/>
      <c r="O9" s="87">
        <f>N9*170</f>
        <v>0</v>
      </c>
      <c r="P9" s="87">
        <f>N9*1</f>
        <v>0</v>
      </c>
    </row>
    <row r="10" spans="1:17" x14ac:dyDescent="0.2">
      <c r="A10" s="210" t="s">
        <v>246</v>
      </c>
      <c r="B10" s="197"/>
      <c r="C10" s="209"/>
      <c r="D10" s="209"/>
      <c r="E10" s="101"/>
      <c r="G10" s="94" t="s">
        <v>235</v>
      </c>
      <c r="H10" s="197"/>
      <c r="I10" s="87">
        <f>H10*210</f>
        <v>0</v>
      </c>
      <c r="J10" s="87">
        <f>H10*3</f>
        <v>0</v>
      </c>
      <c r="K10" s="101"/>
      <c r="M10" s="94" t="s">
        <v>251</v>
      </c>
      <c r="N10" s="197"/>
      <c r="O10" s="87">
        <f>N10*500</f>
        <v>0</v>
      </c>
      <c r="P10" s="87">
        <f>N10*25</f>
        <v>0</v>
      </c>
      <c r="Q10" s="101">
        <f>N10*200</f>
        <v>0</v>
      </c>
    </row>
    <row r="11" spans="1:17" x14ac:dyDescent="0.2">
      <c r="A11" s="94" t="s">
        <v>245</v>
      </c>
      <c r="B11" s="197"/>
      <c r="C11" s="87">
        <f>B11*200</f>
        <v>0</v>
      </c>
      <c r="D11" s="87">
        <f>B11*3</f>
        <v>0</v>
      </c>
      <c r="E11" s="101"/>
      <c r="G11" s="211"/>
      <c r="H11" s="197"/>
      <c r="I11" s="212"/>
      <c r="J11" s="212"/>
      <c r="K11" s="101"/>
      <c r="M11" s="94" t="s">
        <v>252</v>
      </c>
      <c r="N11" s="197"/>
      <c r="O11" s="87">
        <f>N11*170</f>
        <v>0</v>
      </c>
      <c r="P11" s="87">
        <f>N11*2</f>
        <v>0</v>
      </c>
      <c r="Q11" s="101">
        <f>N11*250</f>
        <v>0</v>
      </c>
    </row>
    <row r="12" spans="1:17" x14ac:dyDescent="0.2">
      <c r="A12" s="94" t="s">
        <v>237</v>
      </c>
      <c r="B12" s="197"/>
      <c r="C12" s="87">
        <f>B12*210</f>
        <v>0</v>
      </c>
      <c r="D12" s="87">
        <f>B12*5</f>
        <v>0</v>
      </c>
      <c r="E12" s="101"/>
      <c r="G12" s="94" t="s">
        <v>229</v>
      </c>
      <c r="H12" s="197"/>
      <c r="I12" s="87">
        <f>H12*570</f>
        <v>0</v>
      </c>
      <c r="J12" s="87">
        <f>H12*23</f>
        <v>0</v>
      </c>
      <c r="K12" s="101"/>
      <c r="M12" s="94" t="s">
        <v>233</v>
      </c>
      <c r="N12" s="197"/>
      <c r="O12" s="87">
        <f>N12*550</f>
        <v>0</v>
      </c>
      <c r="P12" s="87">
        <f>N12*20</f>
        <v>0</v>
      </c>
      <c r="Q12" s="100">
        <f>N12*330</f>
        <v>0</v>
      </c>
    </row>
    <row r="13" spans="1:17" x14ac:dyDescent="0.2">
      <c r="A13" s="94"/>
      <c r="B13" s="197"/>
      <c r="C13" s="87"/>
      <c r="D13" s="87"/>
      <c r="E13" s="101"/>
      <c r="G13" s="106" t="s">
        <v>236</v>
      </c>
      <c r="H13" s="197"/>
      <c r="I13" s="87">
        <f>H13*200</f>
        <v>0</v>
      </c>
      <c r="J13" s="87">
        <f>H13*3</f>
        <v>0</v>
      </c>
      <c r="K13" s="101"/>
      <c r="M13" s="94" t="s">
        <v>255</v>
      </c>
      <c r="N13" s="197"/>
      <c r="O13" s="87">
        <f>N13*180</f>
        <v>0</v>
      </c>
      <c r="P13" s="87">
        <f>N13*1</f>
        <v>0</v>
      </c>
      <c r="Q13" s="100">
        <f>N13*200</f>
        <v>0</v>
      </c>
    </row>
    <row r="14" spans="1:17" x14ac:dyDescent="0.2">
      <c r="A14" s="101"/>
      <c r="G14" s="101"/>
      <c r="N14" s="114"/>
      <c r="Q14" s="101"/>
    </row>
    <row r="15" spans="1:17" x14ac:dyDescent="0.2">
      <c r="A15" s="136" t="s">
        <v>244</v>
      </c>
      <c r="B15" s="138"/>
      <c r="C15" s="139"/>
      <c r="D15" s="140"/>
      <c r="G15" s="136" t="s">
        <v>238</v>
      </c>
      <c r="H15" s="137"/>
      <c r="I15" s="140"/>
      <c r="J15" s="140"/>
      <c r="K15" s="105"/>
      <c r="M15" s="136" t="s">
        <v>243</v>
      </c>
      <c r="N15" s="137"/>
      <c r="O15" s="139"/>
      <c r="P15" s="140"/>
      <c r="Q15" s="101"/>
    </row>
    <row r="16" spans="1:17" x14ac:dyDescent="0.2">
      <c r="A16" s="94" t="s">
        <v>224</v>
      </c>
      <c r="B16" s="197"/>
      <c r="C16" s="87">
        <f>B16*540</f>
        <v>0</v>
      </c>
      <c r="D16" s="87">
        <f>B16*26</f>
        <v>0</v>
      </c>
      <c r="E16" s="101"/>
      <c r="G16" s="94" t="s">
        <v>231</v>
      </c>
      <c r="H16" s="197"/>
      <c r="I16" s="87">
        <f>H16*370</f>
        <v>0</v>
      </c>
      <c r="J16" s="87">
        <f>H16*15</f>
        <v>0</v>
      </c>
      <c r="K16" s="101">
        <f>H16*250</f>
        <v>0</v>
      </c>
      <c r="M16" s="94" t="s">
        <v>242</v>
      </c>
      <c r="N16" s="197"/>
      <c r="O16" s="87">
        <f>N16*465</f>
        <v>0</v>
      </c>
      <c r="P16" s="87">
        <f>N16*24</f>
        <v>0</v>
      </c>
    </row>
    <row r="17" spans="1:19" x14ac:dyDescent="0.2">
      <c r="A17" s="94" t="s">
        <v>228</v>
      </c>
      <c r="B17" s="197"/>
      <c r="C17" s="87">
        <f>B17*530</f>
        <v>0</v>
      </c>
      <c r="D17" s="87">
        <f>B17*23</f>
        <v>0</v>
      </c>
      <c r="E17" s="101"/>
      <c r="G17" s="94" t="s">
        <v>234</v>
      </c>
      <c r="H17" s="197"/>
      <c r="I17" s="87">
        <f>H17*180</f>
        <v>0</v>
      </c>
      <c r="J17" s="87">
        <f>H17*6</f>
        <v>0</v>
      </c>
      <c r="K17" s="101">
        <f>H17*200</f>
        <v>0</v>
      </c>
      <c r="M17" s="87" t="s">
        <v>254</v>
      </c>
      <c r="N17" s="197"/>
      <c r="O17" s="87">
        <f>N17*190</f>
        <v>0</v>
      </c>
      <c r="P17" s="87">
        <f>N17*3</f>
        <v>0</v>
      </c>
    </row>
    <row r="18" spans="1:19" x14ac:dyDescent="0.2">
      <c r="A18" s="94" t="s">
        <v>225</v>
      </c>
      <c r="B18" s="197"/>
      <c r="C18" s="87">
        <f>B18*260</f>
        <v>0</v>
      </c>
      <c r="D18" s="87">
        <f>B18*14</f>
        <v>0</v>
      </c>
      <c r="E18" s="101">
        <f>B18*230</f>
        <v>0</v>
      </c>
      <c r="G18" s="211"/>
      <c r="H18" s="197"/>
      <c r="I18" s="212"/>
      <c r="J18" s="212"/>
      <c r="K18" s="101"/>
      <c r="M18" s="94" t="s">
        <v>241</v>
      </c>
      <c r="N18" s="197"/>
      <c r="O18" s="87">
        <f>N18*515</f>
        <v>0</v>
      </c>
      <c r="P18" s="87">
        <f>N18*12</f>
        <v>0</v>
      </c>
    </row>
    <row r="19" spans="1:19" x14ac:dyDescent="0.2">
      <c r="A19" s="212"/>
      <c r="B19" s="197"/>
      <c r="C19" s="212"/>
      <c r="D19" s="212"/>
      <c r="E19" s="101"/>
      <c r="G19" s="94" t="s">
        <v>230</v>
      </c>
      <c r="H19" s="197"/>
      <c r="I19" s="87">
        <f>H19*600</f>
        <v>0</v>
      </c>
      <c r="J19" s="87">
        <f>H19*21</f>
        <v>0</v>
      </c>
      <c r="K19" s="101"/>
      <c r="M19" s="94" t="s">
        <v>253</v>
      </c>
      <c r="N19" s="197"/>
      <c r="O19" s="87">
        <f>N19*170</f>
        <v>0</v>
      </c>
      <c r="P19" s="87">
        <f>N19*1</f>
        <v>0</v>
      </c>
      <c r="Q19" s="101">
        <f>N19*200</f>
        <v>0</v>
      </c>
      <c r="R19" s="114"/>
    </row>
    <row r="20" spans="1:19" x14ac:dyDescent="0.2">
      <c r="A20" s="210" t="s">
        <v>246</v>
      </c>
      <c r="B20" s="197"/>
      <c r="C20" s="209"/>
      <c r="D20" s="209"/>
      <c r="E20" s="101"/>
      <c r="G20" s="94" t="s">
        <v>235</v>
      </c>
      <c r="H20" s="197"/>
      <c r="I20" s="87">
        <f>H20*210</f>
        <v>0</v>
      </c>
      <c r="J20" s="87">
        <f>H20*3</f>
        <v>0</v>
      </c>
      <c r="K20" s="101"/>
      <c r="M20" s="94" t="s">
        <v>251</v>
      </c>
      <c r="N20" s="197"/>
      <c r="O20" s="87">
        <f>N20*500</f>
        <v>0</v>
      </c>
      <c r="P20" s="87">
        <f>N20*25</f>
        <v>0</v>
      </c>
      <c r="Q20" s="101">
        <f>N20*250</f>
        <v>0</v>
      </c>
    </row>
    <row r="21" spans="1:19" x14ac:dyDescent="0.2">
      <c r="A21" s="94" t="s">
        <v>245</v>
      </c>
      <c r="B21" s="197"/>
      <c r="C21" s="87">
        <f>B21*200</f>
        <v>0</v>
      </c>
      <c r="D21" s="87">
        <f>B21*3</f>
        <v>0</v>
      </c>
      <c r="E21" s="101"/>
      <c r="G21" s="211"/>
      <c r="H21" s="197"/>
      <c r="I21" s="212"/>
      <c r="J21" s="212"/>
      <c r="K21" s="101"/>
      <c r="M21" s="94" t="s">
        <v>252</v>
      </c>
      <c r="N21" s="197"/>
      <c r="O21" s="87">
        <f>N21*170</f>
        <v>0</v>
      </c>
      <c r="P21" s="87">
        <f>N21*2</f>
        <v>0</v>
      </c>
      <c r="Q21" s="100">
        <f>N21*330</f>
        <v>0</v>
      </c>
    </row>
    <row r="22" spans="1:19" x14ac:dyDescent="0.2">
      <c r="A22" s="94" t="s">
        <v>237</v>
      </c>
      <c r="B22" s="197"/>
      <c r="C22" s="87">
        <f>B22*210</f>
        <v>0</v>
      </c>
      <c r="D22" s="87">
        <f>B22*5</f>
        <v>0</v>
      </c>
      <c r="E22" s="103"/>
      <c r="F22" s="104"/>
      <c r="G22" s="94" t="s">
        <v>229</v>
      </c>
      <c r="H22" s="197"/>
      <c r="I22" s="87">
        <f>H22*570</f>
        <v>0</v>
      </c>
      <c r="J22" s="87">
        <f>H22*23</f>
        <v>0</v>
      </c>
      <c r="K22" s="103"/>
      <c r="L22" s="104"/>
      <c r="M22" s="94" t="s">
        <v>233</v>
      </c>
      <c r="N22" s="197"/>
      <c r="O22" s="87">
        <f>N22*550</f>
        <v>0</v>
      </c>
      <c r="P22" s="87">
        <f>N22*20</f>
        <v>0</v>
      </c>
      <c r="S22" s="102"/>
    </row>
    <row r="23" spans="1:19" x14ac:dyDescent="0.2">
      <c r="A23" s="94"/>
      <c r="B23" s="197"/>
      <c r="C23" s="87"/>
      <c r="D23" s="87"/>
      <c r="E23" s="105"/>
      <c r="G23" s="106" t="s">
        <v>236</v>
      </c>
      <c r="H23" s="197"/>
      <c r="I23" s="87">
        <f>H23*200</f>
        <v>0</v>
      </c>
      <c r="J23" s="87">
        <f>H23*3</f>
        <v>0</v>
      </c>
      <c r="K23" s="105"/>
      <c r="M23" s="94" t="s">
        <v>255</v>
      </c>
      <c r="N23" s="197"/>
      <c r="O23" s="87">
        <f>N23*180</f>
        <v>0</v>
      </c>
      <c r="P23" s="87">
        <f>N23*1</f>
        <v>0</v>
      </c>
      <c r="S23" s="102"/>
    </row>
    <row r="24" spans="1:19" ht="13.5" thickBot="1" x14ac:dyDescent="0.25">
      <c r="A24" s="107"/>
      <c r="E24" s="101"/>
      <c r="K24" s="101"/>
      <c r="Q24" s="101">
        <f>N24*200</f>
        <v>0</v>
      </c>
    </row>
    <row r="25" spans="1:19" x14ac:dyDescent="0.2">
      <c r="E25" s="101"/>
      <c r="K25" s="101"/>
      <c r="M25" s="119"/>
      <c r="N25" s="120"/>
      <c r="O25" s="121" t="s">
        <v>156</v>
      </c>
      <c r="P25" s="122">
        <f>CEILING(SUM(C6:C23,I6:I23,O6:O23),1)</f>
        <v>0</v>
      </c>
      <c r="Q25" s="123"/>
      <c r="R25" s="124" t="s">
        <v>40</v>
      </c>
    </row>
    <row r="26" spans="1:19" x14ac:dyDescent="0.2">
      <c r="E26" s="101"/>
      <c r="K26" s="101"/>
      <c r="M26" s="125"/>
      <c r="N26" s="118"/>
      <c r="O26" s="126" t="s">
        <v>157</v>
      </c>
      <c r="P26" s="127">
        <f>CEILING(SUM(D6:D23,J6:J23,P6:P23),1)</f>
        <v>0</v>
      </c>
      <c r="Q26" s="128"/>
      <c r="R26" s="129" t="s">
        <v>65</v>
      </c>
    </row>
    <row r="27" spans="1:19" ht="13.5" thickBot="1" x14ac:dyDescent="0.25">
      <c r="G27" s="107"/>
      <c r="K27" s="101"/>
      <c r="M27" s="130"/>
      <c r="N27" s="131"/>
      <c r="O27" s="132" t="s">
        <v>158</v>
      </c>
      <c r="P27" s="133">
        <f>CEILING(SUM(E8,E18,K6:K7,K16:K17),1)</f>
        <v>0</v>
      </c>
      <c r="Q27" s="134"/>
      <c r="R27" s="135" t="s">
        <v>3</v>
      </c>
    </row>
    <row r="28" spans="1:19" x14ac:dyDescent="0.2">
      <c r="K28" s="101">
        <f>H28*230</f>
        <v>0</v>
      </c>
    </row>
    <row r="29" spans="1:19" x14ac:dyDescent="0.2">
      <c r="E29" s="101">
        <f>B29*200</f>
        <v>0</v>
      </c>
      <c r="K29" s="101">
        <f>H29*300</f>
        <v>0</v>
      </c>
    </row>
    <row r="30" spans="1:19" x14ac:dyDescent="0.2">
      <c r="E30" s="101">
        <f>B30*250</f>
        <v>0</v>
      </c>
      <c r="K30" s="101">
        <f>H30*400</f>
        <v>0</v>
      </c>
      <c r="Q30" s="101">
        <f>N30*200</f>
        <v>0</v>
      </c>
    </row>
    <row r="31" spans="1:19" x14ac:dyDescent="0.2">
      <c r="E31" s="100">
        <f>B31*330</f>
        <v>0</v>
      </c>
      <c r="K31" s="101">
        <f>H31*200</f>
        <v>0</v>
      </c>
      <c r="Q31" s="101">
        <f>N31*250</f>
        <v>0</v>
      </c>
    </row>
    <row r="32" spans="1:19" x14ac:dyDescent="0.2">
      <c r="E32" s="101">
        <f>B32*200</f>
        <v>0</v>
      </c>
      <c r="Q32" s="101">
        <f>N32*330</f>
        <v>0</v>
      </c>
    </row>
    <row r="33" spans="1:17" x14ac:dyDescent="0.2">
      <c r="E33" s="101"/>
      <c r="K33" s="105"/>
      <c r="Q33" s="101">
        <f>N33*200</f>
        <v>0</v>
      </c>
    </row>
    <row r="34" spans="1:17" x14ac:dyDescent="0.2">
      <c r="E34" s="101"/>
      <c r="K34" s="101"/>
      <c r="M34" s="107"/>
    </row>
    <row r="35" spans="1:17" x14ac:dyDescent="0.2">
      <c r="E35" s="101"/>
      <c r="K35" s="101"/>
    </row>
    <row r="36" spans="1:17" x14ac:dyDescent="0.2">
      <c r="K36" s="101"/>
    </row>
    <row r="37" spans="1:17" x14ac:dyDescent="0.2">
      <c r="A37" s="107"/>
      <c r="K37" s="101">
        <f>H37*230</f>
        <v>0</v>
      </c>
    </row>
    <row r="38" spans="1:17" x14ac:dyDescent="0.2">
      <c r="E38" s="101"/>
      <c r="K38" s="101">
        <f>H38*300</f>
        <v>0</v>
      </c>
      <c r="Q38" s="101">
        <f>N38*200</f>
        <v>0</v>
      </c>
    </row>
    <row r="39" spans="1:17" x14ac:dyDescent="0.2">
      <c r="E39" s="103"/>
      <c r="F39" s="104"/>
      <c r="K39" s="101">
        <f>H39*400</f>
        <v>0</v>
      </c>
      <c r="M39" s="107"/>
    </row>
    <row r="40" spans="1:17" x14ac:dyDescent="0.2">
      <c r="E40" s="101">
        <f>B40*200</f>
        <v>0</v>
      </c>
      <c r="G40" s="107"/>
      <c r="K40" s="103"/>
      <c r="L40" s="104"/>
    </row>
    <row r="41" spans="1:17" x14ac:dyDescent="0.2">
      <c r="E41" s="101">
        <f>B41*250</f>
        <v>0</v>
      </c>
    </row>
    <row r="42" spans="1:17" x14ac:dyDescent="0.2">
      <c r="E42" s="100">
        <f>B42*330</f>
        <v>0</v>
      </c>
    </row>
    <row r="43" spans="1:17" x14ac:dyDescent="0.2">
      <c r="E43" s="100">
        <f>B43*200</f>
        <v>0</v>
      </c>
    </row>
  </sheetData>
  <sheetProtection algorithmName="SHA-512" hashValue="bZMuMd5Kidf3nywX0Cjj9VQBdKcxyV7K+KKE6lcbJyZJCnG76K9/+MXd30UwFKktKjd5zIfZQhOW8iySRAlGzg==" saltValue="mSj+HW6qgNtmX8Cb1VKEDg==" spinCount="100000" sheet="1" selectLockedCells="1"/>
  <pageMargins left="0.75" right="0.75" top="1" bottom="1" header="0.5" footer="0.5"/>
  <pageSetup paperSize="9" orientation="portrait" r:id="rId1"/>
  <headerFooter alignWithMargins="0"/>
  <ignoredErrors>
    <ignoredError sqref="O7:P7 O10 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U51"/>
  <sheetViews>
    <sheetView zoomScaleNormal="85" zoomScaleSheetLayoutView="100" workbookViewId="0">
      <selection activeCell="H17" sqref="H17"/>
    </sheetView>
  </sheetViews>
  <sheetFormatPr defaultRowHeight="12.75" x14ac:dyDescent="0.2"/>
  <cols>
    <col min="1" max="1" width="45.140625" customWidth="1"/>
    <col min="2" max="2" width="6.28515625" customWidth="1"/>
    <col min="3" max="3" width="9.7109375" customWidth="1"/>
    <col min="4" max="4" width="10.5703125" customWidth="1"/>
    <col min="5" max="5" width="9" customWidth="1"/>
    <col min="6" max="6" width="5.42578125" customWidth="1"/>
    <col min="7" max="7" width="46.42578125" customWidth="1"/>
    <col min="8" max="8" width="6.28515625" customWidth="1"/>
    <col min="9" max="9" width="7.140625" customWidth="1"/>
    <col min="10" max="10" width="8" customWidth="1"/>
    <col min="11" max="11" width="7.7109375" customWidth="1"/>
  </cols>
  <sheetData>
    <row r="1" spans="1:21" ht="15.75" x14ac:dyDescent="0.25">
      <c r="A1" s="21" t="s">
        <v>24</v>
      </c>
      <c r="B1" s="21"/>
      <c r="C1" s="22"/>
      <c r="D1" s="21"/>
      <c r="E1" s="21"/>
      <c r="F1" s="69"/>
      <c r="G1" s="59"/>
      <c r="H1" s="59"/>
      <c r="I1" s="59"/>
      <c r="J1" s="59"/>
      <c r="K1" s="59"/>
      <c r="L1" s="59"/>
      <c r="M1" s="59"/>
      <c r="N1" s="9"/>
      <c r="O1" s="9"/>
      <c r="P1" s="9"/>
    </row>
    <row r="2" spans="1:21" ht="15.75" x14ac:dyDescent="0.25">
      <c r="A2" s="21" t="s">
        <v>60</v>
      </c>
      <c r="B2" s="21"/>
      <c r="C2" s="22"/>
      <c r="D2" s="21"/>
      <c r="E2" s="21"/>
      <c r="F2" s="69"/>
      <c r="G2" s="59"/>
      <c r="H2" s="59"/>
      <c r="I2" s="59"/>
      <c r="J2" s="59"/>
      <c r="K2" s="59"/>
      <c r="L2" s="59"/>
      <c r="M2" s="59"/>
      <c r="N2" s="9"/>
      <c r="O2" s="9"/>
      <c r="P2" s="9"/>
    </row>
    <row r="3" spans="1:21" x14ac:dyDescent="0.2">
      <c r="G3" s="59"/>
      <c r="H3" s="59"/>
      <c r="I3" s="59"/>
      <c r="J3" s="9"/>
      <c r="K3" s="9"/>
      <c r="L3" s="9"/>
      <c r="M3" s="9"/>
      <c r="N3" s="9"/>
      <c r="O3" s="9"/>
      <c r="P3" s="9"/>
    </row>
    <row r="4" spans="1:21" x14ac:dyDescent="0.2">
      <c r="A4" s="1"/>
      <c r="B4" s="7"/>
      <c r="C4" s="7"/>
      <c r="D4" s="7"/>
      <c r="E4" s="7"/>
    </row>
    <row r="5" spans="1:21" ht="17.25" customHeight="1" x14ac:dyDescent="0.25">
      <c r="A5" s="142" t="s">
        <v>192</v>
      </c>
      <c r="B5" s="143" t="s">
        <v>3</v>
      </c>
      <c r="C5" s="143" t="s">
        <v>152</v>
      </c>
      <c r="D5" s="143" t="s">
        <v>151</v>
      </c>
      <c r="E5" s="143" t="s">
        <v>105</v>
      </c>
      <c r="G5" s="142" t="s">
        <v>109</v>
      </c>
      <c r="H5" s="143" t="s">
        <v>61</v>
      </c>
      <c r="I5" s="143" t="s">
        <v>152</v>
      </c>
      <c r="J5" s="143" t="s">
        <v>43</v>
      </c>
      <c r="K5" s="143" t="s">
        <v>105</v>
      </c>
    </row>
    <row r="6" spans="1:21" s="9" customFormat="1" ht="17.25" customHeight="1" x14ac:dyDescent="0.2">
      <c r="A6" s="24" t="s">
        <v>74</v>
      </c>
      <c r="B6" s="198"/>
      <c r="C6" s="8">
        <f>B6*2.4</f>
        <v>0</v>
      </c>
      <c r="D6" s="8">
        <f>B6*0.144</f>
        <v>0</v>
      </c>
      <c r="E6" s="8">
        <f>B6*0.63</f>
        <v>0</v>
      </c>
      <c r="G6" s="193" t="s">
        <v>58</v>
      </c>
      <c r="H6" s="198"/>
      <c r="I6" s="8">
        <f>H6*2</f>
        <v>0</v>
      </c>
      <c r="J6" s="8">
        <f>H6*0.039</f>
        <v>0</v>
      </c>
      <c r="K6" s="8">
        <f>H6*0.71</f>
        <v>0</v>
      </c>
    </row>
    <row r="7" spans="1:21" s="9" customFormat="1" ht="17.25" customHeight="1" x14ac:dyDescent="0.2">
      <c r="A7" s="24" t="s">
        <v>197</v>
      </c>
      <c r="B7" s="198"/>
      <c r="C7" s="8">
        <f>B7*1.5</f>
        <v>0</v>
      </c>
      <c r="D7" s="8">
        <f>B7*0.075</f>
        <v>0</v>
      </c>
      <c r="E7" s="8">
        <f>B7*0.75</f>
        <v>0</v>
      </c>
      <c r="G7" s="24" t="s">
        <v>59</v>
      </c>
      <c r="H7" s="198"/>
      <c r="I7" s="8">
        <f>H7*1.99</f>
        <v>0</v>
      </c>
      <c r="J7" s="8">
        <f>H7*0.073</f>
        <v>0</v>
      </c>
      <c r="K7" s="8">
        <f>H7*0.71</f>
        <v>0</v>
      </c>
    </row>
    <row r="8" spans="1:21" s="9" customFormat="1" ht="17.25" customHeight="1" x14ac:dyDescent="0.2">
      <c r="A8" s="191" t="s">
        <v>73</v>
      </c>
      <c r="B8" s="198"/>
      <c r="C8" s="23">
        <f>B8*1.5</f>
        <v>0</v>
      </c>
      <c r="D8" s="23">
        <f>B8*0.1</f>
        <v>0</v>
      </c>
      <c r="E8" s="23">
        <f>B8*0.79</f>
        <v>0</v>
      </c>
      <c r="G8" s="24" t="s">
        <v>194</v>
      </c>
      <c r="H8" s="198"/>
      <c r="I8" s="8">
        <f>H8*1.5</f>
        <v>0</v>
      </c>
      <c r="J8" s="8">
        <f>H8*0.1</f>
        <v>0</v>
      </c>
      <c r="K8" s="8">
        <f>H8*0.79</f>
        <v>0</v>
      </c>
    </row>
    <row r="9" spans="1:21" s="9" customFormat="1" ht="17.25" customHeight="1" x14ac:dyDescent="0.2">
      <c r="A9" s="24" t="s">
        <v>75</v>
      </c>
      <c r="B9" s="198"/>
      <c r="C9" s="8">
        <f>B9*1.51</f>
        <v>0</v>
      </c>
      <c r="D9" s="8">
        <f>B9*0.056</f>
        <v>0</v>
      </c>
      <c r="E9" s="8">
        <f>B9*0.77</f>
        <v>0</v>
      </c>
      <c r="G9" s="24" t="s">
        <v>190</v>
      </c>
      <c r="H9" s="198"/>
      <c r="I9" s="8">
        <f>H9*1.5</f>
        <v>0</v>
      </c>
      <c r="J9" s="8">
        <f>H9*0.075</f>
        <v>0</v>
      </c>
      <c r="K9" s="8">
        <f>H9*0.66</f>
        <v>0</v>
      </c>
    </row>
    <row r="10" spans="1:21" s="9" customFormat="1" ht="17.25" customHeight="1" x14ac:dyDescent="0.2">
      <c r="A10" s="24" t="s">
        <v>76</v>
      </c>
      <c r="B10" s="198"/>
      <c r="C10" s="8">
        <f>B10*2</f>
        <v>0</v>
      </c>
      <c r="D10" s="8">
        <f>B10*0.09</f>
        <v>0</v>
      </c>
      <c r="E10" s="8">
        <f>B10*0.7</f>
        <v>0</v>
      </c>
      <c r="G10" s="24" t="s">
        <v>77</v>
      </c>
      <c r="H10" s="199"/>
      <c r="I10" s="8">
        <f>H10*1.6</f>
        <v>0</v>
      </c>
      <c r="J10" s="8">
        <f>H10*0.07</f>
        <v>0</v>
      </c>
      <c r="K10" s="8">
        <f>H10*0.64</f>
        <v>0</v>
      </c>
    </row>
    <row r="11" spans="1:21" s="9" customFormat="1" ht="17.25" customHeight="1" x14ac:dyDescent="0.2">
      <c r="A11" s="24" t="s">
        <v>239</v>
      </c>
      <c r="B11" s="198"/>
      <c r="C11" s="8">
        <f>B11*2</f>
        <v>0</v>
      </c>
      <c r="D11" s="8">
        <f>B11*0.1</f>
        <v>0</v>
      </c>
      <c r="E11" s="8">
        <f>B11*0.7</f>
        <v>0</v>
      </c>
      <c r="G11" s="24" t="s">
        <v>240</v>
      </c>
      <c r="H11" s="199"/>
      <c r="I11" s="8">
        <f>H11*2</f>
        <v>0</v>
      </c>
      <c r="J11" s="8">
        <f>H11*0.1</f>
        <v>0</v>
      </c>
      <c r="K11" s="2">
        <f>H11*0.58</f>
        <v>0</v>
      </c>
    </row>
    <row r="12" spans="1:21" s="9" customFormat="1" ht="17.25" customHeight="1" x14ac:dyDescent="0.2">
      <c r="A12" s="24" t="s">
        <v>57</v>
      </c>
      <c r="B12" s="198"/>
      <c r="C12" s="8">
        <f>B12*1.25</f>
        <v>0</v>
      </c>
      <c r="D12" s="8">
        <f>B12*0.094</f>
        <v>0</v>
      </c>
      <c r="E12" s="8">
        <f>B12*0.8</f>
        <v>0</v>
      </c>
      <c r="G12" s="24" t="s">
        <v>199</v>
      </c>
      <c r="H12" s="199"/>
      <c r="I12" s="8">
        <f>H12*2.45</f>
        <v>0</v>
      </c>
      <c r="J12" s="8">
        <f>H12*0.096</f>
        <v>0</v>
      </c>
      <c r="K12" s="2">
        <f>H12*0.5</f>
        <v>0</v>
      </c>
    </row>
    <row r="13" spans="1:21" s="9" customFormat="1" ht="17.25" customHeight="1" x14ac:dyDescent="0.2">
      <c r="A13"/>
      <c r="B13"/>
      <c r="C13"/>
      <c r="D13"/>
      <c r="E13"/>
      <c r="G13" s="24" t="s">
        <v>143</v>
      </c>
      <c r="H13" s="199"/>
      <c r="I13" s="8">
        <f>H13*0.87</f>
        <v>0</v>
      </c>
      <c r="J13" s="8">
        <f>H13*0.025</f>
        <v>0</v>
      </c>
      <c r="K13" s="2">
        <f>H13*0.8</f>
        <v>0</v>
      </c>
      <c r="L13"/>
      <c r="M13"/>
      <c r="N13"/>
      <c r="O13"/>
      <c r="P13"/>
      <c r="Q13"/>
      <c r="R13"/>
      <c r="S13"/>
      <c r="T13"/>
      <c r="U13"/>
    </row>
    <row r="14" spans="1:21" ht="17.25" customHeight="1" x14ac:dyDescent="0.25">
      <c r="A14" s="146" t="s">
        <v>193</v>
      </c>
      <c r="B14" s="144"/>
      <c r="C14" s="144"/>
      <c r="D14" s="144"/>
      <c r="E14" s="145"/>
      <c r="G14" s="24" t="s">
        <v>201</v>
      </c>
      <c r="H14" s="199"/>
      <c r="I14" s="8">
        <f>H14*0.86</f>
        <v>0</v>
      </c>
      <c r="J14" s="8">
        <f>H14*0.025</f>
        <v>0</v>
      </c>
      <c r="K14" s="2">
        <f>H14*0.8</f>
        <v>0</v>
      </c>
      <c r="L14" s="29" t="s">
        <v>144</v>
      </c>
    </row>
    <row r="15" spans="1:21" ht="17.25" customHeight="1" x14ac:dyDescent="0.2">
      <c r="A15" s="192" t="s">
        <v>198</v>
      </c>
      <c r="B15" s="198"/>
      <c r="C15" s="17">
        <f>B15*1.5</f>
        <v>0</v>
      </c>
      <c r="D15" s="17">
        <f>B15*0.04</f>
        <v>0</v>
      </c>
      <c r="E15" s="17">
        <f>B15*0.8</f>
        <v>0</v>
      </c>
      <c r="G15" s="24" t="s">
        <v>113</v>
      </c>
      <c r="H15" s="199"/>
      <c r="I15" s="8">
        <f>H15*1.2</f>
        <v>0</v>
      </c>
      <c r="J15" s="8">
        <f>H15*0.038</f>
        <v>0</v>
      </c>
      <c r="K15" s="2">
        <f>H15*0.82</f>
        <v>0</v>
      </c>
    </row>
    <row r="16" spans="1:21" ht="17.25" customHeight="1" x14ac:dyDescent="0.2">
      <c r="A16" s="24" t="s">
        <v>72</v>
      </c>
      <c r="B16" s="198"/>
      <c r="C16" s="2">
        <f>B16*1.5</f>
        <v>0</v>
      </c>
      <c r="D16" s="2">
        <f>B16*0.04</f>
        <v>0</v>
      </c>
      <c r="E16" s="2">
        <f>B16*0.76</f>
        <v>0</v>
      </c>
      <c r="G16" s="24" t="s">
        <v>187</v>
      </c>
      <c r="H16" s="199"/>
      <c r="I16" s="8">
        <f>H16*1.53</f>
        <v>0</v>
      </c>
      <c r="J16" s="8">
        <f>H16*0.033</f>
        <v>0</v>
      </c>
      <c r="K16" s="2">
        <f>H16*0.77</f>
        <v>0</v>
      </c>
    </row>
    <row r="17" spans="1:21" ht="17.25" customHeight="1" x14ac:dyDescent="0.2">
      <c r="A17" s="24" t="s">
        <v>56</v>
      </c>
      <c r="B17" s="198"/>
      <c r="C17" s="2">
        <f>B17*1.5</f>
        <v>0</v>
      </c>
      <c r="D17" s="2">
        <f>B17*0.04</f>
        <v>0</v>
      </c>
      <c r="E17" s="2">
        <f>B17*0.75</f>
        <v>0</v>
      </c>
      <c r="G17" s="24" t="s">
        <v>188</v>
      </c>
      <c r="H17" s="199"/>
      <c r="I17" s="8">
        <f>H17*1.5</f>
        <v>0</v>
      </c>
      <c r="J17" s="8">
        <f>H17*0.034</f>
        <v>0</v>
      </c>
      <c r="K17" s="2">
        <f>H17*0.76</f>
        <v>0</v>
      </c>
    </row>
    <row r="18" spans="1:21" ht="17.25" customHeight="1" x14ac:dyDescent="0.2">
      <c r="C18" s="7"/>
      <c r="D18" s="7"/>
      <c r="E18" s="7"/>
      <c r="G18" s="24" t="s">
        <v>250</v>
      </c>
      <c r="H18" s="199"/>
      <c r="I18" s="8">
        <f>H18*0.5</f>
        <v>0</v>
      </c>
      <c r="J18" s="8">
        <f>H18*0</f>
        <v>0</v>
      </c>
      <c r="K18" s="2">
        <f>H18*0.92</f>
        <v>0</v>
      </c>
    </row>
    <row r="19" spans="1:21" ht="17.25" customHeight="1" thickBot="1" x14ac:dyDescent="0.25"/>
    <row r="20" spans="1:21" ht="17.25" customHeight="1" x14ac:dyDescent="0.25">
      <c r="A20" s="60" t="s">
        <v>110</v>
      </c>
      <c r="B20" s="186"/>
      <c r="C20" s="183">
        <f>CEILING(SUM(C6:C12,C15:C17,I6:I17,I20:I27),1)</f>
        <v>0</v>
      </c>
      <c r="D20" s="63" t="s">
        <v>40</v>
      </c>
      <c r="E20" s="41"/>
      <c r="G20" s="146" t="s">
        <v>62</v>
      </c>
      <c r="H20" s="144"/>
      <c r="I20" s="144"/>
      <c r="J20" s="144"/>
      <c r="K20" s="145"/>
    </row>
    <row r="21" spans="1:21" ht="17.25" customHeight="1" x14ac:dyDescent="0.25">
      <c r="A21" s="61" t="s">
        <v>111</v>
      </c>
      <c r="B21" s="187"/>
      <c r="C21" s="184">
        <f>CEILING(SUM(D6:D12,D15:D17,J6:J17,J20:J27),1)</f>
        <v>0</v>
      </c>
      <c r="D21" s="64" t="s">
        <v>65</v>
      </c>
      <c r="E21" s="41"/>
      <c r="G21" s="191" t="s">
        <v>189</v>
      </c>
      <c r="H21" s="200"/>
      <c r="I21" s="17">
        <f>H21*4.66</f>
        <v>0</v>
      </c>
      <c r="J21" s="17">
        <v>0</v>
      </c>
      <c r="K21" s="67">
        <f>H21*0.43</f>
        <v>0</v>
      </c>
    </row>
    <row r="22" spans="1:21" ht="17.25" customHeight="1" thickBot="1" x14ac:dyDescent="0.3">
      <c r="A22" s="62" t="s">
        <v>112</v>
      </c>
      <c r="B22" s="188"/>
      <c r="C22" s="185">
        <f>CEILING(SUM(E6:E12,E15:E17,K6:K17,K20:K27),1)</f>
        <v>0</v>
      </c>
      <c r="D22" s="65" t="s">
        <v>3</v>
      </c>
      <c r="E22" s="41"/>
      <c r="G22" s="191" t="s">
        <v>200</v>
      </c>
      <c r="H22" s="200"/>
      <c r="I22" s="17">
        <f>H22*5</f>
        <v>0</v>
      </c>
      <c r="J22" s="17">
        <v>0</v>
      </c>
      <c r="K22" s="67">
        <f>H22*0.4</f>
        <v>0</v>
      </c>
    </row>
    <row r="23" spans="1:21" ht="17.25" customHeight="1" x14ac:dyDescent="0.2">
      <c r="A23" s="58"/>
      <c r="B23" s="58"/>
      <c r="C23" s="58"/>
      <c r="D23" s="58"/>
      <c r="E23" s="58"/>
      <c r="G23" s="24" t="s">
        <v>191</v>
      </c>
      <c r="H23" s="201"/>
      <c r="I23" s="2">
        <f>H23*3.6</f>
        <v>0</v>
      </c>
      <c r="J23" s="2">
        <f>H23*0.87</f>
        <v>0</v>
      </c>
      <c r="K23" s="68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9" customFormat="1" ht="17.25" customHeight="1" x14ac:dyDescent="0.2">
      <c r="A24" s="7"/>
      <c r="B24" s="10"/>
      <c r="C24"/>
      <c r="D24" s="58"/>
      <c r="E24" s="58"/>
      <c r="G24" s="28" t="s">
        <v>78</v>
      </c>
      <c r="H24" s="201"/>
      <c r="I24" s="2">
        <f>H24*3.8</f>
        <v>0</v>
      </c>
      <c r="J24" s="2">
        <v>0</v>
      </c>
      <c r="K24" s="68">
        <v>0</v>
      </c>
      <c r="L24"/>
      <c r="M24"/>
      <c r="N24"/>
      <c r="O24"/>
      <c r="P24"/>
      <c r="Q24"/>
      <c r="R24"/>
      <c r="S24"/>
      <c r="T24"/>
      <c r="U24"/>
    </row>
    <row r="25" spans="1:21" ht="17.25" customHeight="1" x14ac:dyDescent="0.2">
      <c r="A25" s="58"/>
      <c r="B25" s="58"/>
      <c r="C25" s="58"/>
      <c r="D25" s="58"/>
      <c r="E25" s="58"/>
      <c r="G25" s="28" t="s">
        <v>184</v>
      </c>
      <c r="H25" s="201"/>
      <c r="I25" s="2">
        <f>H25*4.92</f>
        <v>0</v>
      </c>
      <c r="J25" s="2">
        <v>0</v>
      </c>
      <c r="K25" s="68">
        <v>0</v>
      </c>
    </row>
    <row r="26" spans="1:21" ht="17.25" customHeight="1" x14ac:dyDescent="0.2">
      <c r="A26" s="58"/>
      <c r="B26" s="58"/>
      <c r="C26" s="58"/>
      <c r="D26" s="58"/>
      <c r="E26" s="58"/>
      <c r="G26" s="28" t="s">
        <v>63</v>
      </c>
      <c r="H26" s="201"/>
      <c r="I26" s="2">
        <f>H26*4.5</f>
        <v>0</v>
      </c>
      <c r="J26" s="2">
        <v>0</v>
      </c>
      <c r="K26" s="68">
        <f>H26*0.46</f>
        <v>0</v>
      </c>
    </row>
    <row r="27" spans="1:21" ht="17.25" customHeight="1" x14ac:dyDescent="0.2">
      <c r="A27" s="58"/>
      <c r="B27" s="58"/>
      <c r="C27" s="58"/>
      <c r="D27" s="58"/>
      <c r="E27" s="58"/>
      <c r="G27" s="28" t="s">
        <v>202</v>
      </c>
      <c r="H27" s="201"/>
      <c r="I27" s="2">
        <f>H27*0.42</f>
        <v>0</v>
      </c>
      <c r="J27" s="2">
        <v>0</v>
      </c>
      <c r="K27" s="68">
        <f>H27*0.89</f>
        <v>0</v>
      </c>
    </row>
    <row r="28" spans="1:21" ht="17.25" customHeight="1" x14ac:dyDescent="0.2">
      <c r="A28" s="58"/>
      <c r="B28" s="58"/>
      <c r="C28" s="58"/>
      <c r="D28" s="58"/>
      <c r="E28" s="58"/>
      <c r="G28" s="28" t="s">
        <v>64</v>
      </c>
      <c r="H28" s="201"/>
      <c r="I28" s="2">
        <f>H28*8.55</f>
        <v>0</v>
      </c>
      <c r="J28" s="2">
        <v>0</v>
      </c>
      <c r="K28" s="68">
        <v>0</v>
      </c>
    </row>
    <row r="29" spans="1:21" ht="17.25" customHeight="1" x14ac:dyDescent="0.2">
      <c r="A29" s="58"/>
      <c r="B29" s="58"/>
      <c r="C29" s="58"/>
      <c r="D29" s="58"/>
      <c r="E29" s="58"/>
    </row>
    <row r="30" spans="1:21" ht="17.25" customHeight="1" x14ac:dyDescent="0.2">
      <c r="A30" s="58"/>
      <c r="B30" s="58"/>
      <c r="C30" s="58"/>
      <c r="D30" s="58"/>
      <c r="E30" s="58"/>
    </row>
    <row r="31" spans="1:21" ht="17.25" customHeight="1" x14ac:dyDescent="0.2">
      <c r="A31" s="58"/>
      <c r="B31" s="58"/>
      <c r="C31" s="58"/>
      <c r="D31" s="58"/>
      <c r="E31" s="58"/>
    </row>
    <row r="32" spans="1:21" ht="17.25" customHeight="1" x14ac:dyDescent="0.2">
      <c r="A32" s="5"/>
      <c r="B32" s="5"/>
      <c r="C32" s="5"/>
      <c r="D32" s="5"/>
      <c r="E32" s="5"/>
    </row>
    <row r="33" spans="1:6" ht="17.25" customHeight="1" x14ac:dyDescent="0.2">
      <c r="A33" s="5"/>
      <c r="B33" s="5"/>
      <c r="C33" s="5"/>
      <c r="D33" s="5"/>
      <c r="E33" s="5"/>
    </row>
    <row r="34" spans="1:6" ht="17.25" customHeight="1" x14ac:dyDescent="0.25">
      <c r="A34" s="43"/>
      <c r="B34" s="57"/>
      <c r="C34" s="57"/>
      <c r="D34" s="57"/>
      <c r="E34" s="57"/>
    </row>
    <row r="35" spans="1:6" x14ac:dyDescent="0.2">
      <c r="A35" s="5"/>
      <c r="B35" s="5"/>
      <c r="C35" s="5"/>
      <c r="D35" s="5"/>
      <c r="E35" s="5"/>
    </row>
    <row r="36" spans="1:6" x14ac:dyDescent="0.2">
      <c r="A36" s="5"/>
      <c r="B36" s="5"/>
      <c r="C36" s="5"/>
      <c r="D36" s="5"/>
      <c r="E36" s="5"/>
    </row>
    <row r="37" spans="1:6" ht="17.25" customHeight="1" x14ac:dyDescent="0.2">
      <c r="A37" s="5"/>
      <c r="B37" s="5"/>
      <c r="C37" s="5"/>
      <c r="D37" s="5"/>
      <c r="E37" s="5"/>
    </row>
    <row r="38" spans="1:6" ht="17.25" customHeight="1" x14ac:dyDescent="0.2">
      <c r="A38" s="5"/>
      <c r="B38" s="5"/>
      <c r="C38" s="5"/>
      <c r="D38" s="5"/>
      <c r="E38" s="5"/>
    </row>
    <row r="39" spans="1:6" ht="17.25" customHeight="1" x14ac:dyDescent="0.2">
      <c r="A39" s="5"/>
      <c r="B39" s="5"/>
      <c r="C39" s="5"/>
      <c r="D39" s="5"/>
      <c r="E39" s="5"/>
    </row>
    <row r="40" spans="1:6" ht="17.25" customHeight="1" x14ac:dyDescent="0.2">
      <c r="A40" s="5"/>
      <c r="B40" s="5"/>
      <c r="C40" s="5"/>
      <c r="D40" s="5"/>
      <c r="E40" s="5"/>
    </row>
    <row r="41" spans="1:6" ht="17.25" customHeight="1" x14ac:dyDescent="0.2">
      <c r="A41" s="5"/>
      <c r="B41" s="5"/>
      <c r="C41" s="5"/>
      <c r="D41" s="5"/>
      <c r="E41" s="5"/>
    </row>
    <row r="42" spans="1:6" ht="17.25" customHeight="1" x14ac:dyDescent="0.2">
      <c r="A42" s="5"/>
      <c r="B42" s="5"/>
      <c r="C42" s="5"/>
      <c r="D42" s="5"/>
      <c r="E42" s="5"/>
    </row>
    <row r="43" spans="1:6" ht="17.25" customHeight="1" x14ac:dyDescent="0.2">
      <c r="A43" s="5"/>
      <c r="B43" s="5"/>
      <c r="C43" s="5"/>
      <c r="D43" s="5"/>
      <c r="E43" s="5"/>
    </row>
    <row r="44" spans="1:6" ht="17.25" customHeight="1" x14ac:dyDescent="0.2">
      <c r="A44" s="5"/>
      <c r="B44" s="5"/>
      <c r="C44" s="5"/>
      <c r="D44" s="5"/>
      <c r="E44" s="5"/>
    </row>
    <row r="45" spans="1:6" ht="17.25" customHeight="1" x14ac:dyDescent="0.2"/>
    <row r="46" spans="1:6" ht="17.25" customHeight="1" x14ac:dyDescent="0.2"/>
    <row r="47" spans="1:6" ht="17.25" customHeight="1" x14ac:dyDescent="0.2"/>
    <row r="48" spans="1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</sheetData>
  <sheetProtection algorithmName="SHA-512" hashValue="urQNnzb3OX2FWtRmpz1GqP1wZ15MWsQq3uJEin6k9ogBaHziO2BU2V+QhOMJTgSq9FrVRbq3DOHEoFES9l1K/A==" saltValue="2mvUtfU35Cc8DyVbepBc5w==" spinCount="100000" sheet="1" objects="1" scenarios="1" selectLockedCells="1"/>
  <phoneticPr fontId="3" type="noConversion"/>
  <pageMargins left="0.75" right="0.75" top="1" bottom="1" header="0.5" footer="0.5"/>
  <pageSetup paperSize="9" scale="58" orientation="landscape" r:id="rId1"/>
  <headerFooter alignWithMargins="0">
    <oddFooter>&amp;LOriginalidé: Hans Larsson, ssk på hematologen 4, SUS Lund</oddFooter>
  </headerFooter>
  <ignoredErrors>
    <ignoredError sqref="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E28"/>
  <sheetViews>
    <sheetView zoomScaleNormal="100" zoomScaleSheetLayoutView="100" workbookViewId="0">
      <selection activeCell="B33" sqref="B33"/>
    </sheetView>
  </sheetViews>
  <sheetFormatPr defaultRowHeight="12.75" x14ac:dyDescent="0.2"/>
  <cols>
    <col min="1" max="1" width="26.7109375" customWidth="1"/>
    <col min="3" max="3" width="7.7109375" customWidth="1"/>
    <col min="4" max="4" width="8.5703125" customWidth="1"/>
    <col min="5" max="5" width="8.140625" customWidth="1"/>
    <col min="6" max="6" width="18.28515625" customWidth="1"/>
  </cols>
  <sheetData>
    <row r="1" spans="1:5" ht="15.75" x14ac:dyDescent="0.25">
      <c r="A1" s="19" t="s">
        <v>24</v>
      </c>
      <c r="B1" s="19"/>
      <c r="C1" s="20"/>
      <c r="D1" s="40"/>
    </row>
    <row r="2" spans="1:5" ht="15.75" x14ac:dyDescent="0.25">
      <c r="A2" s="19" t="s">
        <v>53</v>
      </c>
      <c r="B2" s="19"/>
      <c r="C2" s="20"/>
      <c r="D2" s="40"/>
    </row>
    <row r="5" spans="1:5" s="1" customFormat="1" ht="17.25" customHeight="1" x14ac:dyDescent="0.25">
      <c r="A5" s="149" t="s">
        <v>36</v>
      </c>
      <c r="B5" s="150" t="s">
        <v>3</v>
      </c>
      <c r="C5" s="150" t="s">
        <v>152</v>
      </c>
      <c r="D5" s="150" t="s">
        <v>43</v>
      </c>
      <c r="E5" s="150" t="s">
        <v>105</v>
      </c>
    </row>
    <row r="6" spans="1:5" s="1" customFormat="1" ht="17.25" customHeight="1" x14ac:dyDescent="0.2">
      <c r="A6" s="17" t="s">
        <v>32</v>
      </c>
      <c r="B6" s="202"/>
      <c r="C6" s="17">
        <f>B6*1.09</f>
        <v>0</v>
      </c>
      <c r="D6" s="17">
        <f>B6*0.044</f>
        <v>0</v>
      </c>
      <c r="E6" s="56">
        <f>B6*0.77</f>
        <v>0</v>
      </c>
    </row>
    <row r="7" spans="1:5" ht="17.25" customHeight="1" x14ac:dyDescent="0.2">
      <c r="A7" s="2" t="s">
        <v>55</v>
      </c>
      <c r="B7" s="203"/>
      <c r="C7" s="2">
        <f>B7*1.03</f>
        <v>0</v>
      </c>
      <c r="D7" s="2">
        <f>B7*0.039</f>
        <v>0</v>
      </c>
      <c r="E7" s="4">
        <f>B7*0.85</f>
        <v>0</v>
      </c>
    </row>
    <row r="8" spans="1:5" ht="17.25" customHeight="1" x14ac:dyDescent="0.2">
      <c r="A8" s="2" t="s">
        <v>54</v>
      </c>
      <c r="B8" s="203"/>
      <c r="C8" s="2">
        <f>B8*1</f>
        <v>0</v>
      </c>
      <c r="D8" s="2">
        <f>B8*0.039</f>
        <v>0</v>
      </c>
      <c r="E8" s="4">
        <f>B8*0.86</f>
        <v>0</v>
      </c>
    </row>
    <row r="9" spans="1:5" ht="17.25" customHeight="1" x14ac:dyDescent="0.2">
      <c r="A9" s="2" t="s">
        <v>33</v>
      </c>
      <c r="B9" s="203"/>
      <c r="C9" s="2">
        <f>B9*1.3</f>
        <v>0</v>
      </c>
      <c r="D9" s="2">
        <f>B9*0.067</f>
        <v>0</v>
      </c>
      <c r="E9" s="4">
        <f>B9*0.81</f>
        <v>0</v>
      </c>
    </row>
    <row r="10" spans="1:5" ht="17.25" customHeight="1" x14ac:dyDescent="0.2">
      <c r="A10" s="2" t="s">
        <v>203</v>
      </c>
      <c r="B10" s="203"/>
      <c r="C10" s="2">
        <f>B10*1.33</f>
        <v>0</v>
      </c>
      <c r="D10" s="2">
        <f>B10*0.067</f>
        <v>0</v>
      </c>
      <c r="E10" s="4">
        <f>B10*0.79</f>
        <v>0</v>
      </c>
    </row>
    <row r="11" spans="1:5" ht="17.25" customHeight="1" x14ac:dyDescent="0.2">
      <c r="A11" s="2" t="s">
        <v>100</v>
      </c>
      <c r="B11" s="203"/>
      <c r="C11" s="2">
        <f>B11*1.28</f>
        <v>0</v>
      </c>
      <c r="D11" s="2">
        <f>B11*0.063</f>
        <v>0</v>
      </c>
      <c r="E11" s="4">
        <f>B11*0.8</f>
        <v>0</v>
      </c>
    </row>
    <row r="12" spans="1:5" ht="17.25" customHeight="1" x14ac:dyDescent="0.2">
      <c r="A12" s="2" t="s">
        <v>34</v>
      </c>
      <c r="B12" s="203"/>
      <c r="C12" s="2">
        <f>B12*1.57</f>
        <v>0</v>
      </c>
      <c r="D12" s="2">
        <f>B12*0.061</f>
        <v>0</v>
      </c>
      <c r="E12" s="4">
        <f>B12*0.75</f>
        <v>0</v>
      </c>
    </row>
    <row r="13" spans="1:5" ht="17.25" customHeight="1" x14ac:dyDescent="0.2">
      <c r="A13" s="2" t="s">
        <v>35</v>
      </c>
      <c r="B13" s="203"/>
      <c r="C13" s="2">
        <f>B13*1.6</f>
        <v>0</v>
      </c>
      <c r="D13" s="2">
        <f>B13*0.061</f>
        <v>0</v>
      </c>
      <c r="E13" s="4">
        <f>B13*0.73</f>
        <v>0</v>
      </c>
    </row>
    <row r="14" spans="1:5" ht="17.25" customHeight="1" x14ac:dyDescent="0.2">
      <c r="A14" s="2" t="s">
        <v>101</v>
      </c>
      <c r="B14" s="203"/>
      <c r="C14" s="2">
        <f>B14*1</f>
        <v>0</v>
      </c>
      <c r="D14" s="2">
        <f>B14*0.055</f>
        <v>0</v>
      </c>
      <c r="E14" s="4">
        <f>B14*0.83</f>
        <v>0</v>
      </c>
    </row>
    <row r="15" spans="1:5" ht="17.25" customHeight="1" x14ac:dyDescent="0.2">
      <c r="A15" s="2" t="s">
        <v>102</v>
      </c>
      <c r="B15" s="203"/>
      <c r="C15" s="2">
        <f>B15*1.2</f>
        <v>0</v>
      </c>
      <c r="D15" s="2">
        <f>B15*0.06</f>
        <v>0</v>
      </c>
      <c r="E15" s="4">
        <f>B15*0.8</f>
        <v>0</v>
      </c>
    </row>
    <row r="16" spans="1:5" ht="17.25" customHeight="1" x14ac:dyDescent="0.2">
      <c r="A16" s="2" t="s">
        <v>186</v>
      </c>
      <c r="B16" s="203"/>
      <c r="C16" s="2">
        <f>B16*2</f>
        <v>0</v>
      </c>
      <c r="D16" s="2">
        <f>B16*0.1</f>
        <v>0</v>
      </c>
      <c r="E16" s="4">
        <f>B16*0.71</f>
        <v>0</v>
      </c>
    </row>
    <row r="17" spans="1:5" ht="17.25" customHeight="1" x14ac:dyDescent="0.2">
      <c r="A17" s="2" t="s">
        <v>103</v>
      </c>
      <c r="B17" s="203"/>
      <c r="C17" s="2">
        <f>B17*1.05</f>
        <v>0</v>
      </c>
      <c r="D17" s="2">
        <f>B17*0.045</f>
        <v>0</v>
      </c>
      <c r="E17" s="4">
        <f>B17*0.83</f>
        <v>0</v>
      </c>
    </row>
    <row r="18" spans="1:5" ht="17.25" customHeight="1" x14ac:dyDescent="0.2">
      <c r="A18" s="2" t="s">
        <v>185</v>
      </c>
      <c r="B18" s="203"/>
      <c r="C18" s="2">
        <f>B18*1.5</f>
        <v>0</v>
      </c>
      <c r="D18" s="2">
        <f>B18*0.075</f>
        <v>0</v>
      </c>
      <c r="E18" s="4">
        <f>B18*0.79</f>
        <v>0</v>
      </c>
    </row>
    <row r="19" spans="1:5" ht="17.25" customHeight="1" x14ac:dyDescent="0.2">
      <c r="A19" s="2" t="s">
        <v>41</v>
      </c>
      <c r="B19" s="203"/>
      <c r="C19" s="2">
        <f>B19*1.1</f>
        <v>0</v>
      </c>
      <c r="D19" s="2">
        <f>B19*0.041</f>
        <v>0</v>
      </c>
      <c r="E19" s="4">
        <f>B19*0.83</f>
        <v>0</v>
      </c>
    </row>
    <row r="20" spans="1:5" ht="17.25" customHeight="1" x14ac:dyDescent="0.2">
      <c r="A20" s="3" t="s">
        <v>42</v>
      </c>
      <c r="B20" s="204"/>
      <c r="C20" s="2">
        <f>B20*1</f>
        <v>0</v>
      </c>
      <c r="D20" s="2">
        <f>B20*0.045</f>
        <v>0</v>
      </c>
      <c r="E20" s="4">
        <f>B20*0.85</f>
        <v>0</v>
      </c>
    </row>
    <row r="21" spans="1:5" ht="17.25" customHeight="1" x14ac:dyDescent="0.2">
      <c r="A21" s="2" t="s">
        <v>104</v>
      </c>
      <c r="B21" s="203"/>
      <c r="C21" s="2">
        <f>B21*1</f>
        <v>0</v>
      </c>
      <c r="D21" s="2">
        <f>B21*0.038</f>
        <v>0</v>
      </c>
      <c r="E21" s="4">
        <f>B21*0.83</f>
        <v>0</v>
      </c>
    </row>
    <row r="23" spans="1:5" ht="13.5" thickBot="1" x14ac:dyDescent="0.25"/>
    <row r="24" spans="1:5" ht="19.5" customHeight="1" x14ac:dyDescent="0.25">
      <c r="A24" s="32"/>
      <c r="B24" s="33" t="s">
        <v>106</v>
      </c>
      <c r="C24" s="33">
        <f>CEILING(SUM(C6:C21),1)</f>
        <v>0</v>
      </c>
      <c r="D24" s="34" t="s">
        <v>40</v>
      </c>
      <c r="E24" s="30"/>
    </row>
    <row r="25" spans="1:5" ht="19.5" customHeight="1" x14ac:dyDescent="0.25">
      <c r="A25" s="35"/>
      <c r="B25" s="31" t="s">
        <v>107</v>
      </c>
      <c r="C25" s="31">
        <f>CEILING(SUM(D6:D21),1)</f>
        <v>0</v>
      </c>
      <c r="D25" s="36" t="s">
        <v>65</v>
      </c>
      <c r="E25" s="30"/>
    </row>
    <row r="26" spans="1:5" ht="19.5" customHeight="1" thickBot="1" x14ac:dyDescent="0.3">
      <c r="A26" s="37"/>
      <c r="B26" s="38" t="s">
        <v>108</v>
      </c>
      <c r="C26" s="38">
        <f>CEILING(SUM(E6:E21),1)</f>
        <v>0</v>
      </c>
      <c r="D26" s="39" t="s">
        <v>3</v>
      </c>
      <c r="E26" s="30"/>
    </row>
    <row r="28" spans="1:5" x14ac:dyDescent="0.2">
      <c r="A28" s="7"/>
      <c r="B28" s="10"/>
    </row>
  </sheetData>
  <sheetProtection algorithmName="SHA-512" hashValue="FFksj4o2ap2JtkC0UwyFLdtmTvTK+8mXQuIJd0LstHPqMAop7ApMDHfVw68xCB01oYV1KJkBRzrLhQPwAyoE1Q==" saltValue="EnptRGYSz+up9/pjRbVoxQ==" spinCount="100000" sheet="1" objects="1" scenarios="1" selectLockedCells="1"/>
  <phoneticPr fontId="3" type="noConversion"/>
  <pageMargins left="0.75" right="0.75" top="1" bottom="1" header="0.5" footer="0.5"/>
  <pageSetup paperSize="9" scale="95" orientation="landscape" horizontalDpi="300" verticalDpi="300" r:id="rId1"/>
  <headerFooter alignWithMargins="0">
    <oddFooter>&amp;LOriginalidé: Hans Larsson, ssk på hematologen 4, SUS Lund</oddFooter>
  </headerFooter>
  <ignoredErrors>
    <ignoredError sqref="C19:D19 E15 E20 E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P49"/>
  <sheetViews>
    <sheetView zoomScaleNormal="100" zoomScaleSheetLayoutView="100" workbookViewId="0">
      <selection activeCell="B33" sqref="B33"/>
    </sheetView>
  </sheetViews>
  <sheetFormatPr defaultRowHeight="12.75" x14ac:dyDescent="0.2"/>
  <cols>
    <col min="1" max="1" width="30.5703125" customWidth="1"/>
    <col min="2" max="2" width="9.85546875" customWidth="1"/>
    <col min="4" max="4" width="8.5703125" customWidth="1"/>
    <col min="5" max="5" width="8.28515625" customWidth="1"/>
    <col min="6" max="6" width="17" hidden="1" customWidth="1"/>
    <col min="7" max="7" width="24.85546875" hidden="1" customWidth="1"/>
    <col min="8" max="8" width="16.5703125" hidden="1" customWidth="1"/>
    <col min="9" max="9" width="15.42578125" hidden="1" customWidth="1"/>
    <col min="10" max="10" width="12.7109375" hidden="1" customWidth="1"/>
    <col min="11" max="11" width="12.28515625" hidden="1" customWidth="1"/>
    <col min="12" max="12" width="3.28515625" customWidth="1"/>
    <col min="13" max="13" width="27.5703125" customWidth="1"/>
    <col min="14" max="14" width="8.42578125" customWidth="1"/>
    <col min="15" max="15" width="7.140625" customWidth="1"/>
    <col min="16" max="16" width="8.5703125" customWidth="1"/>
  </cols>
  <sheetData>
    <row r="1" spans="1:16" ht="15.75" x14ac:dyDescent="0.25">
      <c r="A1" s="14" t="s">
        <v>24</v>
      </c>
      <c r="B1" s="14"/>
      <c r="C1" s="15"/>
      <c r="D1" s="13"/>
      <c r="E1" s="13"/>
    </row>
    <row r="2" spans="1:16" ht="15.75" x14ac:dyDescent="0.25">
      <c r="A2" s="14" t="s">
        <v>52</v>
      </c>
      <c r="B2" s="14"/>
      <c r="C2" s="15"/>
      <c r="D2" s="13"/>
      <c r="E2" s="13"/>
    </row>
    <row r="5" spans="1:16" ht="17.25" customHeight="1" x14ac:dyDescent="0.25">
      <c r="A5" s="147" t="s">
        <v>149</v>
      </c>
      <c r="B5" s="148" t="s">
        <v>3</v>
      </c>
      <c r="C5" s="148" t="s">
        <v>152</v>
      </c>
      <c r="D5" s="148" t="s">
        <v>43</v>
      </c>
      <c r="F5" s="25" t="s">
        <v>37</v>
      </c>
      <c r="G5" s="25" t="s">
        <v>66</v>
      </c>
      <c r="H5" s="26" t="s">
        <v>38</v>
      </c>
      <c r="I5" s="26" t="s">
        <v>67</v>
      </c>
      <c r="J5" s="26" t="s">
        <v>44</v>
      </c>
      <c r="K5" s="26" t="s">
        <v>68</v>
      </c>
      <c r="M5" s="147" t="s">
        <v>150</v>
      </c>
      <c r="N5" s="148" t="s">
        <v>3</v>
      </c>
    </row>
    <row r="6" spans="1:16" ht="17.25" customHeight="1" x14ac:dyDescent="0.2">
      <c r="A6" s="17" t="s">
        <v>37</v>
      </c>
      <c r="B6" s="205"/>
      <c r="C6" s="18">
        <f>B6*0.905</f>
        <v>0</v>
      </c>
      <c r="D6" s="17">
        <f>B6*0.033</f>
        <v>0</v>
      </c>
      <c r="F6" s="10">
        <v>1026</v>
      </c>
      <c r="G6">
        <v>1440</v>
      </c>
      <c r="H6">
        <v>493</v>
      </c>
      <c r="I6">
        <v>1206</v>
      </c>
      <c r="J6">
        <v>1000</v>
      </c>
      <c r="K6">
        <v>1000</v>
      </c>
      <c r="M6" s="17" t="s">
        <v>25</v>
      </c>
      <c r="N6" s="205"/>
    </row>
    <row r="7" spans="1:16" ht="17.25" customHeight="1" x14ac:dyDescent="0.2">
      <c r="A7" s="4" t="s">
        <v>2</v>
      </c>
      <c r="B7" s="206"/>
      <c r="C7" s="16">
        <f>B7*0.71</f>
        <v>0</v>
      </c>
      <c r="D7" s="2">
        <f>B7*0.024</f>
        <v>0</v>
      </c>
      <c r="F7" s="10">
        <v>1540</v>
      </c>
      <c r="G7" s="10">
        <v>1920</v>
      </c>
      <c r="H7">
        <v>986</v>
      </c>
      <c r="I7">
        <v>1448</v>
      </c>
      <c r="K7">
        <v>1500</v>
      </c>
      <c r="M7" s="2" t="s">
        <v>26</v>
      </c>
      <c r="N7" s="206"/>
    </row>
    <row r="8" spans="1:16" ht="17.25" customHeight="1" x14ac:dyDescent="0.2">
      <c r="A8" s="4" t="s">
        <v>38</v>
      </c>
      <c r="B8" s="207"/>
      <c r="C8" s="16">
        <f>B8*1.108</f>
        <v>0</v>
      </c>
      <c r="D8" s="2">
        <f>B8*0.051</f>
        <v>0</v>
      </c>
      <c r="F8">
        <v>2053</v>
      </c>
      <c r="G8" s="10">
        <v>2400</v>
      </c>
      <c r="H8">
        <v>1477</v>
      </c>
      <c r="I8">
        <v>1904</v>
      </c>
      <c r="K8">
        <v>2000</v>
      </c>
      <c r="M8" s="2" t="s">
        <v>27</v>
      </c>
      <c r="N8" s="206"/>
    </row>
    <row r="9" spans="1:16" ht="17.25" customHeight="1" x14ac:dyDescent="0.2">
      <c r="A9" s="4" t="s">
        <v>39</v>
      </c>
      <c r="B9" s="206"/>
      <c r="C9" s="16">
        <f>B9*0.67</f>
        <v>0</v>
      </c>
      <c r="D9" s="2">
        <f>B9*0.032</f>
        <v>0</v>
      </c>
      <c r="F9">
        <v>2566</v>
      </c>
      <c r="H9">
        <v>1970</v>
      </c>
      <c r="K9">
        <v>2500</v>
      </c>
      <c r="M9" s="2" t="s">
        <v>29</v>
      </c>
      <c r="N9" s="206"/>
    </row>
    <row r="10" spans="1:16" ht="17.25" customHeight="1" x14ac:dyDescent="0.2">
      <c r="A10" s="4" t="s">
        <v>44</v>
      </c>
      <c r="B10" s="206"/>
      <c r="C10" s="16">
        <f>B10*1.07</f>
        <v>0</v>
      </c>
      <c r="D10" s="2">
        <f>B10*0.057</f>
        <v>0</v>
      </c>
      <c r="F10" s="10"/>
      <c r="H10">
        <v>2463</v>
      </c>
      <c r="M10" s="2" t="s">
        <v>30</v>
      </c>
      <c r="N10" s="206"/>
    </row>
    <row r="11" spans="1:16" ht="17.25" customHeight="1" x14ac:dyDescent="0.2">
      <c r="A11" s="4" t="s">
        <v>45</v>
      </c>
      <c r="B11" s="206"/>
      <c r="C11" s="16">
        <f>B11*1.138</f>
        <v>0</v>
      </c>
      <c r="D11" s="2">
        <f>B11*0.044</f>
        <v>0</v>
      </c>
      <c r="F11" s="10"/>
      <c r="G11" s="10"/>
      <c r="M11" s="2" t="s">
        <v>28</v>
      </c>
      <c r="N11" s="206"/>
    </row>
    <row r="12" spans="1:16" ht="17.25" customHeight="1" x14ac:dyDescent="0.2">
      <c r="A12" s="4" t="s">
        <v>46</v>
      </c>
      <c r="B12" s="206"/>
      <c r="C12" s="16">
        <f>B12*0.99</f>
        <v>0</v>
      </c>
      <c r="D12" s="2">
        <f>B12*0.033</f>
        <v>0</v>
      </c>
      <c r="F12" s="10" t="s">
        <v>69</v>
      </c>
      <c r="G12" s="10" t="s">
        <v>70</v>
      </c>
      <c r="M12" s="28" t="s">
        <v>31</v>
      </c>
      <c r="N12" s="206"/>
    </row>
    <row r="13" spans="1:16" ht="17.25" customHeight="1" x14ac:dyDescent="0.2">
      <c r="A13" s="4" t="s">
        <v>47</v>
      </c>
      <c r="B13" s="206"/>
      <c r="C13" s="16">
        <f>B13*0.7</f>
        <v>0</v>
      </c>
      <c r="D13" s="2">
        <f>B13*0.025</f>
        <v>0</v>
      </c>
      <c r="F13" s="10">
        <v>1250</v>
      </c>
      <c r="G13" s="10">
        <v>625</v>
      </c>
    </row>
    <row r="14" spans="1:16" ht="17.25" customHeight="1" x14ac:dyDescent="0.2">
      <c r="A14" s="2" t="s">
        <v>48</v>
      </c>
      <c r="B14" s="206"/>
      <c r="C14" s="2">
        <f>B14*0.764</f>
        <v>0</v>
      </c>
      <c r="D14" s="2">
        <f>B14*0.032</f>
        <v>0</v>
      </c>
      <c r="F14">
        <v>1875</v>
      </c>
      <c r="G14">
        <v>1250</v>
      </c>
    </row>
    <row r="15" spans="1:16" ht="17.25" customHeight="1" x14ac:dyDescent="0.25">
      <c r="A15" s="2" t="s">
        <v>49</v>
      </c>
      <c r="B15" s="206"/>
      <c r="C15" s="2">
        <f>B15*1.01</f>
        <v>0</v>
      </c>
      <c r="D15" s="2">
        <f>B15*0.038</f>
        <v>0</v>
      </c>
      <c r="F15">
        <v>2500</v>
      </c>
      <c r="G15">
        <v>1875</v>
      </c>
      <c r="M15" s="12"/>
      <c r="N15" s="12"/>
    </row>
    <row r="16" spans="1:16" ht="17.25" customHeight="1" x14ac:dyDescent="0.25">
      <c r="A16" s="2" t="s">
        <v>50</v>
      </c>
      <c r="B16" s="206"/>
      <c r="C16" s="2">
        <f>B16*1.18</f>
        <v>0</v>
      </c>
      <c r="D16" s="2">
        <f>B16*0.056</f>
        <v>0</v>
      </c>
      <c r="L16" s="5"/>
      <c r="M16" s="12"/>
      <c r="N16" s="12"/>
      <c r="O16" s="43"/>
      <c r="P16" s="5"/>
    </row>
    <row r="17" spans="1:16" ht="17.25" customHeight="1" x14ac:dyDescent="0.25">
      <c r="A17" s="2" t="s">
        <v>51</v>
      </c>
      <c r="B17" s="206"/>
      <c r="C17" s="2">
        <f>B17*1.18</f>
        <v>0</v>
      </c>
      <c r="D17" s="2">
        <f>B17*0.058</f>
        <v>0</v>
      </c>
      <c r="L17" s="5"/>
      <c r="M17" s="12"/>
      <c r="N17" s="12"/>
      <c r="O17" s="43"/>
      <c r="P17" s="5"/>
    </row>
    <row r="18" spans="1:16" ht="17.25" customHeight="1" x14ac:dyDescent="0.25">
      <c r="A18" s="2" t="s">
        <v>71</v>
      </c>
      <c r="B18" s="206"/>
      <c r="C18" s="16">
        <f>B18*0.1</f>
        <v>0</v>
      </c>
      <c r="D18" s="2">
        <v>0</v>
      </c>
      <c r="F18" s="10"/>
      <c r="G18" s="10"/>
      <c r="L18" s="5"/>
      <c r="M18" s="44"/>
      <c r="N18" s="5"/>
      <c r="O18" s="43"/>
      <c r="P18" s="5"/>
    </row>
    <row r="19" spans="1:16" ht="17.25" customHeight="1" x14ac:dyDescent="0.2">
      <c r="A19" s="2" t="s">
        <v>0</v>
      </c>
      <c r="B19" s="206"/>
      <c r="C19" s="16">
        <f>B19*0.2</f>
        <v>0</v>
      </c>
      <c r="D19" s="2">
        <v>0</v>
      </c>
      <c r="F19" s="10"/>
      <c r="G19" s="10"/>
      <c r="L19" s="5"/>
      <c r="O19" s="5"/>
      <c r="P19" s="5"/>
    </row>
    <row r="20" spans="1:16" ht="17.25" customHeight="1" x14ac:dyDescent="0.2">
      <c r="A20" s="2" t="s">
        <v>1</v>
      </c>
      <c r="B20" s="206"/>
      <c r="C20" s="2">
        <f>B20*0.4</f>
        <v>0</v>
      </c>
      <c r="D20" s="2">
        <v>0</v>
      </c>
      <c r="F20" s="10"/>
      <c r="G20" s="10"/>
    </row>
    <row r="21" spans="1:16" x14ac:dyDescent="0.2">
      <c r="B21" s="6"/>
      <c r="C21" s="6"/>
      <c r="D21" s="7"/>
    </row>
    <row r="22" spans="1:16" ht="13.5" thickBot="1" x14ac:dyDescent="0.25">
      <c r="B22" s="6"/>
      <c r="C22" s="6"/>
      <c r="D22" s="7"/>
    </row>
    <row r="23" spans="1:16" ht="19.5" customHeight="1" x14ac:dyDescent="0.25">
      <c r="A23" s="46"/>
      <c r="B23" s="71"/>
      <c r="C23" s="47" t="s">
        <v>153</v>
      </c>
      <c r="D23" s="47">
        <f>CEILING(SUM(C6:C20),1)</f>
        <v>0</v>
      </c>
      <c r="E23" s="48" t="s">
        <v>40</v>
      </c>
    </row>
    <row r="24" spans="1:16" ht="19.5" customHeight="1" x14ac:dyDescent="0.25">
      <c r="A24" s="49"/>
      <c r="B24" s="70"/>
      <c r="C24" s="50" t="s">
        <v>154</v>
      </c>
      <c r="D24" s="50">
        <f>CEILING(SUM(D6:D20),1)</f>
        <v>0</v>
      </c>
      <c r="E24" s="51" t="s">
        <v>65</v>
      </c>
      <c r="F24" s="6"/>
      <c r="M24" s="12"/>
      <c r="N24" s="12"/>
    </row>
    <row r="25" spans="1:16" ht="19.5" customHeight="1" thickBot="1" x14ac:dyDescent="0.3">
      <c r="A25" s="52"/>
      <c r="B25" s="72"/>
      <c r="C25" s="53" t="s">
        <v>155</v>
      </c>
      <c r="D25" s="55">
        <f>CEILING(SUM(B6:B20,N6:N12),1)</f>
        <v>0</v>
      </c>
      <c r="E25" s="54" t="s">
        <v>3</v>
      </c>
      <c r="L25" s="12"/>
      <c r="M25" s="12"/>
      <c r="N25" s="12"/>
      <c r="O25" s="41"/>
    </row>
    <row r="26" spans="1:16" ht="17.25" customHeight="1" x14ac:dyDescent="0.25">
      <c r="A26" s="45"/>
      <c r="B26" s="25"/>
      <c r="C26" s="26"/>
      <c r="D26" s="26"/>
      <c r="L26" s="12"/>
      <c r="M26" s="12"/>
      <c r="N26" s="12"/>
      <c r="O26" s="41"/>
    </row>
    <row r="27" spans="1:16" ht="17.25" customHeight="1" x14ac:dyDescent="0.25">
      <c r="A27" s="7"/>
      <c r="B27" s="10"/>
      <c r="L27" s="42"/>
      <c r="O27" s="41"/>
    </row>
    <row r="28" spans="1:16" ht="17.25" customHeight="1" x14ac:dyDescent="0.2">
      <c r="A28" s="7"/>
      <c r="B28" s="10"/>
    </row>
    <row r="29" spans="1:16" ht="17.25" customHeight="1" x14ac:dyDescent="0.2">
      <c r="A29" s="7"/>
      <c r="B29" s="10"/>
    </row>
    <row r="30" spans="1:16" ht="17.25" customHeight="1" x14ac:dyDescent="0.2">
      <c r="A30" s="7"/>
      <c r="B30" s="10"/>
    </row>
    <row r="31" spans="1:16" ht="17.25" customHeight="1" x14ac:dyDescent="0.2">
      <c r="A31" s="7"/>
      <c r="B31" s="10"/>
      <c r="F31" s="7"/>
      <c r="G31" s="6"/>
      <c r="H31" s="6"/>
    </row>
    <row r="32" spans="1:16" ht="17.25" customHeight="1" x14ac:dyDescent="0.2">
      <c r="A32" s="5"/>
      <c r="B32" s="10"/>
      <c r="F32" s="7"/>
      <c r="G32" s="6"/>
      <c r="H32" s="6"/>
    </row>
    <row r="33" spans="1:8" ht="17.25" customHeight="1" x14ac:dyDescent="0.2">
      <c r="A33" s="27"/>
      <c r="B33" s="6"/>
      <c r="F33" s="7"/>
      <c r="G33" s="6"/>
      <c r="H33" s="6"/>
    </row>
    <row r="34" spans="1:8" x14ac:dyDescent="0.2">
      <c r="F34" s="7"/>
      <c r="G34" s="6"/>
      <c r="H34" s="6"/>
    </row>
    <row r="35" spans="1:8" x14ac:dyDescent="0.2">
      <c r="F35" s="7"/>
      <c r="G35" s="6"/>
      <c r="H35" s="6"/>
    </row>
    <row r="37" spans="1:8" x14ac:dyDescent="0.2">
      <c r="G37" s="10"/>
      <c r="H37" s="10"/>
    </row>
    <row r="38" spans="1:8" x14ac:dyDescent="0.2">
      <c r="G38" s="10"/>
      <c r="H38" s="10"/>
    </row>
    <row r="39" spans="1:8" x14ac:dyDescent="0.2">
      <c r="G39" s="10"/>
      <c r="H39" s="10"/>
    </row>
    <row r="41" spans="1:8" x14ac:dyDescent="0.2">
      <c r="G41" s="10"/>
      <c r="H41" s="10"/>
    </row>
    <row r="42" spans="1:8" x14ac:dyDescent="0.2">
      <c r="G42" s="10"/>
      <c r="H42" s="10"/>
    </row>
    <row r="43" spans="1:8" x14ac:dyDescent="0.2">
      <c r="G43" s="10"/>
      <c r="H43" s="10"/>
    </row>
    <row r="44" spans="1:8" x14ac:dyDescent="0.2">
      <c r="G44" s="10"/>
      <c r="H44" s="10"/>
    </row>
    <row r="45" spans="1:8" x14ac:dyDescent="0.2">
      <c r="G45" s="10"/>
      <c r="H45" s="10"/>
    </row>
    <row r="47" spans="1:8" x14ac:dyDescent="0.2">
      <c r="G47" s="10"/>
      <c r="H47" s="10"/>
    </row>
    <row r="48" spans="1:8" x14ac:dyDescent="0.2">
      <c r="G48" s="10"/>
      <c r="H48" s="10"/>
    </row>
    <row r="49" spans="7:8" x14ac:dyDescent="0.2">
      <c r="G49" s="10"/>
      <c r="H49" s="10"/>
    </row>
  </sheetData>
  <sheetProtection algorithmName="SHA-512" hashValue="6xq+T1pHjrVYpMzmaucQFJa6A7z0p8/gGRg3WDiffeNqcZOfviq47NnpdcV0T98byu4ddv0GU1zL3JxXYQ2tOA==" saltValue="bBl484Pkq+Hj3eptjnCFow==" spinCount="100000" sheet="1" objects="1" scenarios="1" selectLockedCells="1"/>
  <phoneticPr fontId="3" type="noConversion"/>
  <dataValidations count="11"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6" xr:uid="{00000000-0002-0000-0400-000000000000}">
      <formula1>$F$6:$F$9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7" xr:uid="{00000000-0002-0000-0400-000001000000}">
      <formula1>$G$6:$G$8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8" xr:uid="{00000000-0002-0000-0400-000002000000}">
      <formula1>$H$6:$H$10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9" xr:uid="{00000000-0002-0000-0400-000003000000}">
      <formula1>$I$6:$I$8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0" xr:uid="{00000000-0002-0000-0400-000004000000}">
      <formula1>$J$6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1" xr:uid="{00000000-0002-0000-0400-000005000000}">
      <formula1>$K$6:$K$8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2" xr:uid="{00000000-0002-0000-0400-000006000000}">
      <formula1>$K$8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3" xr:uid="{00000000-0002-0000-0400-000007000000}">
      <formula1>$K$6:$K$9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4:B15" xr:uid="{00000000-0002-0000-0400-000008000000}">
      <formula1>$F$13:$F$15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7" xr:uid="{00000000-0002-0000-0400-000009000000}">
      <formula1>$G$13:$G$15</formula1>
    </dataValidation>
    <dataValidation type="list" errorStyle="information" allowBlank="1" showInputMessage="1" showErrorMessage="1" errorTitle="Eget värde" error="Mängden du valt motsvarar ej hel påse parenteral nutrition. Önskar du ange hel påse kan du hitta rätt värde i rullistan." sqref="B16" xr:uid="{00000000-0002-0000-0400-00000B000000}">
      <formula1>$G$13:$G$15</formula1>
    </dataValidation>
  </dataValidations>
  <pageMargins left="0.75" right="0.75" top="1" bottom="1" header="0.5" footer="0.5"/>
  <pageSetup paperSize="9" scale="71" orientation="landscape" r:id="rId1"/>
  <headerFooter alignWithMargins="0">
    <oddFooter>&amp;LOriginalidé: Hans Larsson, ssk på hematologen 4, SUS Lund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9"/>
  </sheetPr>
  <dimension ref="A3:R22"/>
  <sheetViews>
    <sheetView tabSelected="1" topLeftCell="C1" zoomScaleNormal="100" zoomScaleSheetLayoutView="100" workbookViewId="0">
      <selection activeCell="B33" sqref="B33"/>
    </sheetView>
  </sheetViews>
  <sheetFormatPr defaultRowHeight="15" x14ac:dyDescent="0.2"/>
  <cols>
    <col min="1" max="2" width="13.42578125" customWidth="1"/>
    <col min="3" max="3" width="10.7109375" customWidth="1"/>
    <col min="4" max="4" width="9.42578125" customWidth="1"/>
    <col min="5" max="5" width="7.7109375" customWidth="1"/>
    <col min="6" max="6" width="43.140625" style="11" bestFit="1" customWidth="1"/>
    <col min="7" max="7" width="11" bestFit="1" customWidth="1"/>
    <col min="8" max="8" width="9.140625" customWidth="1"/>
    <col min="9" max="9" width="12.28515625" customWidth="1"/>
    <col min="10" max="10" width="6.140625" customWidth="1"/>
    <col min="11" max="11" width="13.5703125" customWidth="1"/>
    <col min="12" max="12" width="5.140625" bestFit="1" customWidth="1"/>
    <col min="13" max="13" width="10.28515625" customWidth="1"/>
    <col min="14" max="14" width="11.28515625" customWidth="1"/>
    <col min="18" max="18" width="13" customWidth="1"/>
  </cols>
  <sheetData>
    <row r="3" spans="2:12" ht="17.25" customHeight="1" x14ac:dyDescent="0.25">
      <c r="F3" s="12"/>
      <c r="I3" s="11"/>
      <c r="J3" s="11"/>
    </row>
    <row r="4" spans="2:12" ht="17.25" customHeight="1" x14ac:dyDescent="0.25">
      <c r="F4" s="75"/>
      <c r="I4" s="11"/>
      <c r="J4" s="11"/>
    </row>
    <row r="5" spans="2:12" ht="17.25" customHeight="1" x14ac:dyDescent="0.25">
      <c r="F5" s="12"/>
      <c r="I5" s="11"/>
      <c r="J5" s="11"/>
    </row>
    <row r="6" spans="2:12" ht="17.25" customHeight="1" x14ac:dyDescent="0.25">
      <c r="F6" s="12"/>
      <c r="I6" s="11"/>
      <c r="J6" s="11"/>
    </row>
    <row r="7" spans="2:12" ht="17.25" customHeight="1" x14ac:dyDescent="0.2">
      <c r="B7" s="13"/>
      <c r="C7" s="13"/>
      <c r="D7" s="73"/>
      <c r="E7" s="74"/>
      <c r="F7" s="74"/>
      <c r="I7" s="11"/>
      <c r="J7" s="11"/>
    </row>
    <row r="8" spans="2:12" ht="17.25" customHeight="1" x14ac:dyDescent="0.2">
      <c r="E8" s="26"/>
    </row>
    <row r="9" spans="2:12" ht="17.25" customHeight="1" x14ac:dyDescent="0.2"/>
    <row r="10" spans="2:12" ht="25.5" customHeight="1" thickBot="1" x14ac:dyDescent="0.3">
      <c r="B10" s="213"/>
      <c r="C10" s="213"/>
      <c r="D10" s="213"/>
      <c r="F10" s="214"/>
      <c r="G10" s="215"/>
      <c r="H10" s="215"/>
      <c r="I10" s="215"/>
      <c r="J10" s="215"/>
      <c r="K10" s="215"/>
      <c r="L10" s="164"/>
    </row>
    <row r="11" spans="2:12" ht="25.5" customHeight="1" x14ac:dyDescent="0.3">
      <c r="B11" s="156"/>
      <c r="C11" s="155"/>
      <c r="D11" s="5"/>
      <c r="E11" s="13"/>
      <c r="F11" s="154"/>
      <c r="G11" s="167" t="s">
        <v>167</v>
      </c>
      <c r="H11" s="167"/>
      <c r="I11" s="167" t="s">
        <v>168</v>
      </c>
      <c r="J11" s="167"/>
      <c r="K11" s="167" t="s">
        <v>169</v>
      </c>
      <c r="L11" s="165"/>
    </row>
    <row r="12" spans="2:12" ht="25.5" customHeight="1" x14ac:dyDescent="0.25">
      <c r="B12" s="156"/>
      <c r="C12" s="156"/>
      <c r="D12" s="157"/>
      <c r="E12" s="13"/>
      <c r="F12" s="168" t="s">
        <v>140</v>
      </c>
      <c r="G12" s="179">
        <f>SUM('Frukost, mellanmål och dryck'!B41,'Lunch och middag'!P25)</f>
        <v>0</v>
      </c>
      <c r="H12" s="169"/>
      <c r="I12" s="170">
        <f>SUM('Frukost, mellanmål och dryck'!B42,'Lunch och middag'!P26)</f>
        <v>0</v>
      </c>
      <c r="J12" s="171"/>
      <c r="K12" s="172">
        <f>SUM('Frukost, mellanmål och dryck'!B43,'Lunch och middag'!P27)</f>
        <v>0</v>
      </c>
      <c r="L12" s="173"/>
    </row>
    <row r="13" spans="2:12" ht="25.5" customHeight="1" x14ac:dyDescent="0.25">
      <c r="B13" s="156"/>
      <c r="C13" s="156"/>
      <c r="D13" s="157"/>
      <c r="E13" s="13"/>
      <c r="F13" s="168" t="s">
        <v>141</v>
      </c>
      <c r="G13" s="180">
        <f>SUM(Näringsdrycker!C20)</f>
        <v>0</v>
      </c>
      <c r="H13" s="171"/>
      <c r="I13" s="170">
        <f>SUM(Näringsdrycker!C21)</f>
        <v>0</v>
      </c>
      <c r="J13" s="171"/>
      <c r="K13" s="170">
        <f>SUM(Näringsdrycker!C22)</f>
        <v>0</v>
      </c>
      <c r="L13" s="174"/>
    </row>
    <row r="14" spans="2:12" ht="25.5" customHeight="1" x14ac:dyDescent="0.25">
      <c r="B14" s="156"/>
      <c r="C14" s="156"/>
      <c r="D14" s="157"/>
      <c r="E14" s="13"/>
      <c r="F14" s="168" t="s">
        <v>36</v>
      </c>
      <c r="G14" s="180">
        <f>SUM(Sondnäring!C24)</f>
        <v>0</v>
      </c>
      <c r="H14" s="171"/>
      <c r="I14" s="170">
        <f>SUM(Sondnäring!C25)</f>
        <v>0</v>
      </c>
      <c r="J14" s="171"/>
      <c r="K14" s="170">
        <f>SUM(Sondnäring!C26)</f>
        <v>0</v>
      </c>
      <c r="L14" s="174"/>
    </row>
    <row r="15" spans="2:12" ht="25.5" customHeight="1" x14ac:dyDescent="0.25">
      <c r="B15" s="156"/>
      <c r="C15" s="156"/>
      <c r="D15" s="156"/>
      <c r="E15" s="11"/>
      <c r="F15" s="168" t="s">
        <v>142</v>
      </c>
      <c r="G15" s="181">
        <f>SUM('Parenteral nutrition och vätska'!D23)</f>
        <v>0</v>
      </c>
      <c r="H15" s="169"/>
      <c r="I15" s="172">
        <f>SUM('Parenteral nutrition och vätska'!D24)</f>
        <v>0</v>
      </c>
      <c r="J15" s="169"/>
      <c r="K15" s="172">
        <f>SUM('Parenteral nutrition och vätska'!D25)</f>
        <v>0</v>
      </c>
      <c r="L15" s="175"/>
    </row>
    <row r="16" spans="2:12" s="66" customFormat="1" ht="17.25" customHeight="1" x14ac:dyDescent="0.25">
      <c r="E16" s="11"/>
      <c r="F16" s="176"/>
      <c r="G16" s="170"/>
      <c r="H16" s="177"/>
      <c r="I16" s="170"/>
      <c r="J16" s="177"/>
      <c r="K16" s="170"/>
      <c r="L16" s="178"/>
    </row>
    <row r="17" spans="1:18" s="66" customFormat="1" ht="27" customHeight="1" thickBot="1" x14ac:dyDescent="0.3">
      <c r="E17" s="11"/>
      <c r="F17" s="158" t="s">
        <v>166</v>
      </c>
      <c r="G17" s="182">
        <f>SUM(G12:G15)</f>
        <v>0</v>
      </c>
      <c r="H17" s="161" t="s">
        <v>40</v>
      </c>
      <c r="I17" s="160">
        <f>SUM(I12:I15)</f>
        <v>0</v>
      </c>
      <c r="J17" s="163" t="s">
        <v>65</v>
      </c>
      <c r="K17" s="162">
        <f>SUM(K12:K15)</f>
        <v>0</v>
      </c>
      <c r="L17" s="166" t="s">
        <v>3</v>
      </c>
      <c r="M17"/>
      <c r="N17"/>
      <c r="O17"/>
      <c r="P17"/>
      <c r="Q17"/>
      <c r="R17"/>
    </row>
    <row r="18" spans="1:18" ht="17.25" customHeight="1" x14ac:dyDescent="0.2">
      <c r="A18" s="11"/>
      <c r="F18" s="159"/>
      <c r="G18" s="159"/>
      <c r="H18" s="159"/>
      <c r="I18" s="159"/>
      <c r="J18" s="159"/>
      <c r="K18" s="159"/>
      <c r="L18" s="5"/>
    </row>
    <row r="19" spans="1:18" ht="17.25" customHeight="1" x14ac:dyDescent="0.2">
      <c r="A19" s="108"/>
      <c r="F19" s="5"/>
      <c r="G19" s="5"/>
      <c r="H19" s="5"/>
      <c r="I19" s="5"/>
      <c r="J19" s="5"/>
      <c r="K19" s="5"/>
      <c r="L19" s="5"/>
    </row>
    <row r="20" spans="1:18" ht="17.25" customHeight="1" x14ac:dyDescent="0.25">
      <c r="A20" s="108"/>
      <c r="D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7.25" customHeight="1" x14ac:dyDescent="0.2">
      <c r="E21" s="11"/>
    </row>
    <row r="22" spans="1:18" x14ac:dyDescent="0.2">
      <c r="B22" s="11"/>
      <c r="C22" s="11"/>
    </row>
  </sheetData>
  <sheetProtection algorithmName="SHA-512" hashValue="KJ0waHJpssALCTGi/7WnBo9BwZIm6rU5WST+UHDa4S3ZAgthl8OG7RZn6N+XXe/d8R5//zqVqWjY9J8pdeIR2Q==" saltValue="6wnyP3iWxUyxzG7mLxgRmg==" spinCount="100000" sheet="1" objects="1" scenarios="1" selectLockedCells="1"/>
  <mergeCells count="2">
    <mergeCell ref="B10:D10"/>
    <mergeCell ref="F10:K10"/>
  </mergeCells>
  <phoneticPr fontId="3" type="noConversion"/>
  <pageMargins left="0.75" right="0.75" top="1" bottom="1" header="0.5" footer="0.5"/>
  <pageSetup paperSize="9" scale="71" orientation="landscape" r:id="rId1"/>
  <headerFooter alignWithMargins="0">
    <oddFooter>&amp;L&amp;8Originalidé: Hans Larsson, ssk på hematologen 4, SUS Lund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7</vt:i4>
      </vt:variant>
    </vt:vector>
  </HeadingPairs>
  <TitlesOfParts>
    <vt:vector size="13" baseType="lpstr">
      <vt:lpstr>Frukost, mellanmål och dryck</vt:lpstr>
      <vt:lpstr>Lunch och middag</vt:lpstr>
      <vt:lpstr>Näringsdrycker</vt:lpstr>
      <vt:lpstr>Sondnäring</vt:lpstr>
      <vt:lpstr>Parenteral nutrition och vätska</vt:lpstr>
      <vt:lpstr>Resultat</vt:lpstr>
      <vt:lpstr>kcalsondmat</vt:lpstr>
      <vt:lpstr>'Parenteral nutrition och vätska'!mlPV</vt:lpstr>
      <vt:lpstr>'Frukost, mellanmål och dryck'!Utskriftsområde</vt:lpstr>
      <vt:lpstr>Näringsdrycker!Utskriftsområde</vt:lpstr>
      <vt:lpstr>'Parenteral nutrition och vätska'!Utskriftsområde</vt:lpstr>
      <vt:lpstr>Sondnäring!Utskriftsområde</vt:lpstr>
      <vt:lpstr>vätskasondmat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Ylva Dernbrant</dc:creator>
  <cp:lastModifiedBy>Koder Hamid Aida</cp:lastModifiedBy>
  <cp:lastPrinted>2013-11-19T11:15:54Z</cp:lastPrinted>
  <dcterms:created xsi:type="dcterms:W3CDTF">2009-06-24T09:27:55Z</dcterms:created>
  <dcterms:modified xsi:type="dcterms:W3CDTF">2021-06-09T13:25:36Z</dcterms:modified>
</cp:coreProperties>
</file>